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firstSheet="5" activeTab="5"/>
  </bookViews>
  <sheets>
    <sheet name="March 2023" sheetId="8" r:id="rId1"/>
    <sheet name="April 2023" sheetId="4" r:id="rId2"/>
    <sheet name="May 23" sheetId="6" r:id="rId3"/>
    <sheet name="June 23" sheetId="7" r:id="rId4"/>
    <sheet name="July 2023" sheetId="9" r:id="rId5"/>
    <sheet name="Aug 2023" sheetId="10" r:id="rId6"/>
    <sheet name="Sep 2023" sheetId="11" r:id="rId7"/>
    <sheet name="Oct-2023" sheetId="12" r:id="rId8"/>
    <sheet name="Nov 2023" sheetId="13" r:id="rId9"/>
    <sheet name="Dec 2023" sheetId="16" r:id="rId10"/>
    <sheet name="Jan 2024" sheetId="18" r:id="rId11"/>
    <sheet name="feb 2024" sheetId="19" r:id="rId12"/>
    <sheet name="March 2024" sheetId="20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'April 2023'!$A$1:$U$57</definedName>
    <definedName name="_xlnm.Print_Area" localSheetId="5">'Aug 2023'!$A$1:$U$56</definedName>
    <definedName name="_xlnm.Print_Area" localSheetId="9">'Dec 2023'!$A$1:$U$57</definedName>
    <definedName name="_xlnm.Print_Area" localSheetId="11">'feb 2024'!$A$1:$U$61</definedName>
    <definedName name="_xlnm.Print_Area" localSheetId="10">'Jan 2024'!$A$1:$U$61</definedName>
    <definedName name="_xlnm.Print_Area" localSheetId="4">'July 2023'!$A$1:$U$56</definedName>
    <definedName name="_xlnm.Print_Area" localSheetId="3">'June 23'!$A$1:$U$56</definedName>
    <definedName name="_xlnm.Print_Area" localSheetId="0">'March 2023'!$A$1:$U$55</definedName>
    <definedName name="_xlnm.Print_Area" localSheetId="12">'March 2024'!$A$1:$U$61</definedName>
    <definedName name="_xlnm.Print_Area" localSheetId="2">'May 23'!$A$1:$U$56</definedName>
    <definedName name="_xlnm.Print_Area" localSheetId="8">'Nov 2023'!$A$1:$U$56</definedName>
    <definedName name="_xlnm.Print_Area" localSheetId="7">'Oct-2023'!$A$1:$U$57</definedName>
    <definedName name="_xlnm.Print_Area" localSheetId="6">'Sep 2023'!$A$1:$U$56</definedName>
  </definedNames>
  <calcPr calcId="144525"/>
</workbook>
</file>

<file path=xl/calcChain.xml><?xml version="1.0" encoding="utf-8"?>
<calcChain xmlns="http://schemas.openxmlformats.org/spreadsheetml/2006/main">
  <c r="J7" i="20" l="1"/>
  <c r="R51" i="20" l="1"/>
  <c r="S51" i="20"/>
  <c r="F50" i="20"/>
  <c r="G50" i="20"/>
  <c r="J50" i="20"/>
  <c r="L50" i="20"/>
  <c r="M50" i="20"/>
  <c r="P50" i="20"/>
  <c r="Q50" i="20"/>
  <c r="R50" i="20"/>
  <c r="S50" i="20"/>
  <c r="D49" i="20"/>
  <c r="F49" i="20"/>
  <c r="G49" i="20"/>
  <c r="J49" i="20"/>
  <c r="L49" i="20"/>
  <c r="M49" i="20"/>
  <c r="P49" i="20"/>
  <c r="Q49" i="20"/>
  <c r="R49" i="20"/>
  <c r="S49" i="20"/>
  <c r="D44" i="20"/>
  <c r="F44" i="20"/>
  <c r="G44" i="20"/>
  <c r="J44" i="20"/>
  <c r="K44" i="20"/>
  <c r="L44" i="20"/>
  <c r="M44" i="20"/>
  <c r="P44" i="20"/>
  <c r="Q44" i="20"/>
  <c r="R44" i="20"/>
  <c r="S44" i="20"/>
  <c r="P39" i="20"/>
  <c r="P51" i="20" s="1"/>
  <c r="R39" i="20"/>
  <c r="S39" i="20"/>
  <c r="D38" i="20"/>
  <c r="F38" i="20"/>
  <c r="F39" i="20" s="1"/>
  <c r="F51" i="20" s="1"/>
  <c r="J38" i="20"/>
  <c r="L38" i="20"/>
  <c r="L39" i="20" s="1"/>
  <c r="L51" i="20" s="1"/>
  <c r="P38" i="20"/>
  <c r="R38" i="20"/>
  <c r="S38" i="20"/>
  <c r="D33" i="20"/>
  <c r="F33" i="20"/>
  <c r="G33" i="20"/>
  <c r="J33" i="20"/>
  <c r="L33" i="20"/>
  <c r="M33" i="20"/>
  <c r="P33" i="20"/>
  <c r="Q33" i="20"/>
  <c r="R33" i="20"/>
  <c r="S33" i="20"/>
  <c r="D28" i="20"/>
  <c r="F28" i="20"/>
  <c r="G28" i="20"/>
  <c r="J28" i="20"/>
  <c r="L28" i="20"/>
  <c r="M28" i="20"/>
  <c r="P28" i="20"/>
  <c r="Q28" i="20"/>
  <c r="R28" i="20"/>
  <c r="S28" i="20"/>
  <c r="F25" i="20"/>
  <c r="G25" i="20"/>
  <c r="L25" i="20"/>
  <c r="M25" i="20"/>
  <c r="P25" i="20"/>
  <c r="Q25" i="20"/>
  <c r="R25" i="20"/>
  <c r="S25" i="20"/>
  <c r="D24" i="20"/>
  <c r="E24" i="20"/>
  <c r="F24" i="20"/>
  <c r="G24" i="20"/>
  <c r="J24" i="20"/>
  <c r="L24" i="20"/>
  <c r="M24" i="20"/>
  <c r="P24" i="20"/>
  <c r="Q24" i="20"/>
  <c r="R24" i="20"/>
  <c r="S24" i="20"/>
  <c r="D19" i="20"/>
  <c r="D25" i="20" s="1"/>
  <c r="F19" i="20"/>
  <c r="G19" i="20"/>
  <c r="J19" i="20"/>
  <c r="L19" i="20"/>
  <c r="M19" i="20"/>
  <c r="P19" i="20"/>
  <c r="Q19" i="20"/>
  <c r="R19" i="20"/>
  <c r="S19" i="20"/>
  <c r="D15" i="20"/>
  <c r="E15" i="20"/>
  <c r="F15" i="20"/>
  <c r="G15" i="20"/>
  <c r="J15" i="20"/>
  <c r="L15" i="20"/>
  <c r="M15" i="20"/>
  <c r="P15" i="20"/>
  <c r="Q15" i="20"/>
  <c r="R15" i="20"/>
  <c r="S15" i="20"/>
  <c r="D11" i="20"/>
  <c r="E11" i="20"/>
  <c r="F11" i="20"/>
  <c r="G11" i="20"/>
  <c r="J11" i="20"/>
  <c r="L11" i="20"/>
  <c r="M11" i="20"/>
  <c r="P11" i="20"/>
  <c r="Q11" i="20"/>
  <c r="R11" i="20"/>
  <c r="S11" i="20"/>
  <c r="S8" i="20"/>
  <c r="S9" i="20"/>
  <c r="S10" i="20"/>
  <c r="S12" i="20"/>
  <c r="S13" i="20"/>
  <c r="S14" i="20"/>
  <c r="S16" i="20"/>
  <c r="S17" i="20"/>
  <c r="S18" i="20"/>
  <c r="S20" i="20"/>
  <c r="S21" i="20"/>
  <c r="S22" i="20"/>
  <c r="S23" i="20"/>
  <c r="S26" i="20"/>
  <c r="S27" i="20"/>
  <c r="S29" i="20"/>
  <c r="S30" i="20"/>
  <c r="S31" i="20"/>
  <c r="S32" i="20"/>
  <c r="S34" i="20"/>
  <c r="S35" i="20"/>
  <c r="S36" i="20"/>
  <c r="S37" i="20"/>
  <c r="S40" i="20"/>
  <c r="S41" i="20"/>
  <c r="S42" i="20"/>
  <c r="S43" i="20"/>
  <c r="S45" i="20"/>
  <c r="S46" i="20"/>
  <c r="S47" i="20"/>
  <c r="S48" i="20"/>
  <c r="S7" i="20"/>
  <c r="Q8" i="20"/>
  <c r="Q9" i="20"/>
  <c r="Q10" i="20"/>
  <c r="Q12" i="20"/>
  <c r="Q13" i="20"/>
  <c r="Q14" i="20"/>
  <c r="Q16" i="20"/>
  <c r="Q17" i="20"/>
  <c r="Q18" i="20"/>
  <c r="Q20" i="20"/>
  <c r="Q21" i="20"/>
  <c r="Q22" i="20"/>
  <c r="Q23" i="20"/>
  <c r="Q26" i="20"/>
  <c r="Q27" i="20"/>
  <c r="Q29" i="20"/>
  <c r="Q30" i="20"/>
  <c r="Q31" i="20"/>
  <c r="Q32" i="20"/>
  <c r="Q34" i="20"/>
  <c r="Q35" i="20"/>
  <c r="Q36" i="20"/>
  <c r="Q38" i="20" s="1"/>
  <c r="Q39" i="20" s="1"/>
  <c r="Q51" i="20" s="1"/>
  <c r="Q37" i="20"/>
  <c r="Q40" i="20"/>
  <c r="Q41" i="20"/>
  <c r="Q42" i="20"/>
  <c r="Q43" i="20"/>
  <c r="Q45" i="20"/>
  <c r="Q46" i="20"/>
  <c r="Q47" i="20"/>
  <c r="Q48" i="20"/>
  <c r="Q7" i="20"/>
  <c r="M8" i="20"/>
  <c r="M9" i="20"/>
  <c r="M10" i="20"/>
  <c r="M12" i="20"/>
  <c r="M13" i="20"/>
  <c r="M14" i="20"/>
  <c r="M16" i="20"/>
  <c r="M17" i="20"/>
  <c r="M18" i="20"/>
  <c r="M20" i="20"/>
  <c r="M21" i="20"/>
  <c r="M22" i="20"/>
  <c r="M23" i="20"/>
  <c r="M26" i="20"/>
  <c r="M27" i="20"/>
  <c r="M29" i="20"/>
  <c r="M30" i="20"/>
  <c r="M31" i="20"/>
  <c r="M32" i="20"/>
  <c r="M34" i="20"/>
  <c r="M35" i="20"/>
  <c r="M36" i="20"/>
  <c r="M38" i="20" s="1"/>
  <c r="M39" i="20" s="1"/>
  <c r="M51" i="20" s="1"/>
  <c r="M37" i="20"/>
  <c r="M40" i="20"/>
  <c r="M41" i="20"/>
  <c r="M42" i="20"/>
  <c r="M43" i="20"/>
  <c r="M45" i="20"/>
  <c r="M46" i="20"/>
  <c r="M47" i="20"/>
  <c r="M48" i="20"/>
  <c r="M7" i="20"/>
  <c r="K8" i="20"/>
  <c r="K9" i="20"/>
  <c r="K10" i="20"/>
  <c r="K12" i="20"/>
  <c r="K13" i="20"/>
  <c r="K14" i="20"/>
  <c r="K16" i="20"/>
  <c r="K17" i="20"/>
  <c r="K18" i="20"/>
  <c r="K20" i="20"/>
  <c r="K21" i="20"/>
  <c r="K22" i="20"/>
  <c r="K23" i="20"/>
  <c r="K26" i="20"/>
  <c r="K27" i="20"/>
  <c r="K29" i="20"/>
  <c r="K30" i="20"/>
  <c r="K31" i="20"/>
  <c r="K32" i="20"/>
  <c r="K34" i="20"/>
  <c r="K35" i="20"/>
  <c r="K36" i="20"/>
  <c r="K37" i="20"/>
  <c r="K40" i="20"/>
  <c r="K41" i="20"/>
  <c r="K42" i="20"/>
  <c r="K43" i="20"/>
  <c r="K45" i="20"/>
  <c r="K49" i="20" s="1"/>
  <c r="K50" i="20" s="1"/>
  <c r="K46" i="20"/>
  <c r="K47" i="20"/>
  <c r="K48" i="20"/>
  <c r="K7" i="20"/>
  <c r="G8" i="20"/>
  <c r="G9" i="20"/>
  <c r="G10" i="20"/>
  <c r="G12" i="20"/>
  <c r="G13" i="20"/>
  <c r="G14" i="20"/>
  <c r="G16" i="20"/>
  <c r="G17" i="20"/>
  <c r="G18" i="20"/>
  <c r="G20" i="20"/>
  <c r="G21" i="20"/>
  <c r="G22" i="20"/>
  <c r="G23" i="20"/>
  <c r="G26" i="20"/>
  <c r="G27" i="20"/>
  <c r="G29" i="20"/>
  <c r="G30" i="20"/>
  <c r="G31" i="20"/>
  <c r="G32" i="20"/>
  <c r="G34" i="20"/>
  <c r="G35" i="20"/>
  <c r="G36" i="20"/>
  <c r="G37" i="20"/>
  <c r="G40" i="20"/>
  <c r="G41" i="20"/>
  <c r="G42" i="20"/>
  <c r="G43" i="20"/>
  <c r="G45" i="20"/>
  <c r="G46" i="20"/>
  <c r="G47" i="20"/>
  <c r="G48" i="20"/>
  <c r="G7" i="20"/>
  <c r="E8" i="20"/>
  <c r="E9" i="20"/>
  <c r="E10" i="20"/>
  <c r="E12" i="20"/>
  <c r="E13" i="20"/>
  <c r="E14" i="20"/>
  <c r="E16" i="20"/>
  <c r="E19" i="20" s="1"/>
  <c r="E25" i="20" s="1"/>
  <c r="E17" i="20"/>
  <c r="E18" i="20"/>
  <c r="E20" i="20"/>
  <c r="E21" i="20"/>
  <c r="E22" i="20"/>
  <c r="E23" i="20"/>
  <c r="E26" i="20"/>
  <c r="E27" i="20"/>
  <c r="E29" i="20"/>
  <c r="E30" i="20"/>
  <c r="E31" i="20"/>
  <c r="E32" i="20"/>
  <c r="E34" i="20"/>
  <c r="E35" i="20"/>
  <c r="E36" i="20"/>
  <c r="E37" i="20"/>
  <c r="E40" i="20"/>
  <c r="E41" i="20"/>
  <c r="E42" i="20"/>
  <c r="E43" i="20"/>
  <c r="E45" i="20"/>
  <c r="E46" i="20"/>
  <c r="E47" i="20"/>
  <c r="E48" i="20"/>
  <c r="E7" i="20"/>
  <c r="G60" i="20"/>
  <c r="H58" i="20"/>
  <c r="M57" i="20"/>
  <c r="I57" i="20"/>
  <c r="K38" i="20" l="1"/>
  <c r="G38" i="20"/>
  <c r="G39" i="20" s="1"/>
  <c r="G51" i="20" s="1"/>
  <c r="J39" i="20"/>
  <c r="E38" i="20"/>
  <c r="K28" i="20"/>
  <c r="E28" i="20"/>
  <c r="D39" i="20"/>
  <c r="K24" i="20"/>
  <c r="E49" i="20"/>
  <c r="D50" i="20"/>
  <c r="E44" i="20"/>
  <c r="K33" i="20"/>
  <c r="E33" i="20"/>
  <c r="K15" i="20"/>
  <c r="J25" i="20"/>
  <c r="J51" i="20" s="1"/>
  <c r="K11" i="20"/>
  <c r="K19" i="20"/>
  <c r="K39" i="20" l="1"/>
  <c r="E39" i="20"/>
  <c r="D51" i="20"/>
  <c r="K25" i="20"/>
  <c r="E50" i="20"/>
  <c r="P34" i="19"/>
  <c r="Q34" i="19"/>
  <c r="K51" i="20" l="1"/>
  <c r="E51" i="20"/>
  <c r="J53" i="20"/>
  <c r="G60" i="19"/>
  <c r="H58" i="19"/>
  <c r="M57" i="19"/>
  <c r="I57" i="19"/>
  <c r="R50" i="19"/>
  <c r="J50" i="19"/>
  <c r="F50" i="19"/>
  <c r="R49" i="19"/>
  <c r="P49" i="19"/>
  <c r="P50" i="19" s="1"/>
  <c r="L49" i="19"/>
  <c r="L50" i="19" s="1"/>
  <c r="J49" i="19"/>
  <c r="F49" i="19"/>
  <c r="D49" i="19"/>
  <c r="D50" i="19" s="1"/>
  <c r="S48" i="19"/>
  <c r="Q48" i="19"/>
  <c r="M48" i="19"/>
  <c r="K48" i="19"/>
  <c r="G48" i="19"/>
  <c r="E48" i="19"/>
  <c r="S47" i="19"/>
  <c r="Q47" i="19"/>
  <c r="M47" i="19"/>
  <c r="K47" i="19"/>
  <c r="G47" i="19"/>
  <c r="E47" i="19"/>
  <c r="S46" i="19"/>
  <c r="Q46" i="19"/>
  <c r="M46" i="19"/>
  <c r="K46" i="19"/>
  <c r="G46" i="19"/>
  <c r="E46" i="19"/>
  <c r="S45" i="19"/>
  <c r="S49" i="19" s="1"/>
  <c r="Q45" i="19"/>
  <c r="Q49" i="19" s="1"/>
  <c r="Q50" i="19" s="1"/>
  <c r="M45" i="19"/>
  <c r="M49" i="19" s="1"/>
  <c r="K45" i="19"/>
  <c r="K49" i="19" s="1"/>
  <c r="G45" i="19"/>
  <c r="G49" i="19" s="1"/>
  <c r="E45" i="19"/>
  <c r="E49" i="19" s="1"/>
  <c r="R44" i="19"/>
  <c r="P44" i="19"/>
  <c r="L44" i="19"/>
  <c r="J44" i="19"/>
  <c r="F44" i="19"/>
  <c r="D44" i="19"/>
  <c r="S43" i="19"/>
  <c r="Q43" i="19"/>
  <c r="M43" i="19"/>
  <c r="K43" i="19"/>
  <c r="G43" i="19"/>
  <c r="E43" i="19"/>
  <c r="S42" i="19"/>
  <c r="S44" i="19" s="1"/>
  <c r="Q42" i="19"/>
  <c r="M42" i="19"/>
  <c r="K42" i="19"/>
  <c r="G42" i="19"/>
  <c r="G44" i="19" s="1"/>
  <c r="E42" i="19"/>
  <c r="S41" i="19"/>
  <c r="Q41" i="19"/>
  <c r="M41" i="19"/>
  <c r="K41" i="19"/>
  <c r="G41" i="19"/>
  <c r="E41" i="19"/>
  <c r="S40" i="19"/>
  <c r="Q40" i="19"/>
  <c r="Q44" i="19" s="1"/>
  <c r="M40" i="19"/>
  <c r="M44" i="19" s="1"/>
  <c r="K40" i="19"/>
  <c r="K44" i="19" s="1"/>
  <c r="G40" i="19"/>
  <c r="E40" i="19"/>
  <c r="E44" i="19" s="1"/>
  <c r="R38" i="19"/>
  <c r="R39" i="19" s="1"/>
  <c r="P38" i="19"/>
  <c r="L38" i="19"/>
  <c r="J38" i="19"/>
  <c r="J39" i="19" s="1"/>
  <c r="F38" i="19"/>
  <c r="F39" i="19" s="1"/>
  <c r="D38" i="19"/>
  <c r="S37" i="19"/>
  <c r="Q37" i="19"/>
  <c r="M37" i="19"/>
  <c r="K37" i="19"/>
  <c r="G37" i="19"/>
  <c r="E37" i="19"/>
  <c r="S36" i="19"/>
  <c r="Q36" i="19"/>
  <c r="M36" i="19"/>
  <c r="K36" i="19"/>
  <c r="G36" i="19"/>
  <c r="E36" i="19"/>
  <c r="S35" i="19"/>
  <c r="Q35" i="19"/>
  <c r="M35" i="19"/>
  <c r="K35" i="19"/>
  <c r="G35" i="19"/>
  <c r="E35" i="19"/>
  <c r="S34" i="19"/>
  <c r="S38" i="19" s="1"/>
  <c r="M34" i="19"/>
  <c r="M38" i="19" s="1"/>
  <c r="K34" i="19"/>
  <c r="G34" i="19"/>
  <c r="E34" i="19"/>
  <c r="R33" i="19"/>
  <c r="P33" i="19"/>
  <c r="P39" i="19" s="1"/>
  <c r="L33" i="19"/>
  <c r="L39" i="19" s="1"/>
  <c r="J33" i="19"/>
  <c r="F33" i="19"/>
  <c r="D33" i="19"/>
  <c r="D39" i="19" s="1"/>
  <c r="S32" i="19"/>
  <c r="Q32" i="19"/>
  <c r="M32" i="19"/>
  <c r="K32" i="19"/>
  <c r="G32" i="19"/>
  <c r="E32" i="19"/>
  <c r="S31" i="19"/>
  <c r="Q31" i="19"/>
  <c r="M31" i="19"/>
  <c r="K31" i="19"/>
  <c r="G31" i="19"/>
  <c r="E31" i="19"/>
  <c r="S30" i="19"/>
  <c r="Q30" i="19"/>
  <c r="M30" i="19"/>
  <c r="K30" i="19"/>
  <c r="G30" i="19"/>
  <c r="E30" i="19"/>
  <c r="S29" i="19"/>
  <c r="S33" i="19" s="1"/>
  <c r="Q29" i="19"/>
  <c r="Q33" i="19" s="1"/>
  <c r="M29" i="19"/>
  <c r="M33" i="19" s="1"/>
  <c r="K29" i="19"/>
  <c r="K33" i="19" s="1"/>
  <c r="G29" i="19"/>
  <c r="G33" i="19" s="1"/>
  <c r="E29" i="19"/>
  <c r="E33" i="19" s="1"/>
  <c r="R28" i="19"/>
  <c r="P28" i="19"/>
  <c r="L28" i="19"/>
  <c r="J28" i="19"/>
  <c r="F28" i="19"/>
  <c r="D28" i="19"/>
  <c r="S27" i="19"/>
  <c r="Q27" i="19"/>
  <c r="Q28" i="19" s="1"/>
  <c r="M27" i="19"/>
  <c r="K27" i="19"/>
  <c r="K28" i="19" s="1"/>
  <c r="G27" i="19"/>
  <c r="E27" i="19"/>
  <c r="E28" i="19" s="1"/>
  <c r="S26" i="19"/>
  <c r="S28" i="19" s="1"/>
  <c r="Q26" i="19"/>
  <c r="M26" i="19"/>
  <c r="M28" i="19" s="1"/>
  <c r="K26" i="19"/>
  <c r="G26" i="19"/>
  <c r="G28" i="19" s="1"/>
  <c r="E26" i="19"/>
  <c r="R24" i="19"/>
  <c r="P24" i="19"/>
  <c r="L24" i="19"/>
  <c r="L25" i="19" s="1"/>
  <c r="J24" i="19"/>
  <c r="F24" i="19"/>
  <c r="D24" i="19"/>
  <c r="S23" i="19"/>
  <c r="Q23" i="19"/>
  <c r="M23" i="19"/>
  <c r="K23" i="19"/>
  <c r="G23" i="19"/>
  <c r="E23" i="19"/>
  <c r="S22" i="19"/>
  <c r="S24" i="19" s="1"/>
  <c r="Q22" i="19"/>
  <c r="M22" i="19"/>
  <c r="K22" i="19"/>
  <c r="G22" i="19"/>
  <c r="G24" i="19" s="1"/>
  <c r="E22" i="19"/>
  <c r="S21" i="19"/>
  <c r="Q21" i="19"/>
  <c r="M21" i="19"/>
  <c r="K21" i="19"/>
  <c r="G21" i="19"/>
  <c r="E21" i="19"/>
  <c r="S20" i="19"/>
  <c r="Q20" i="19"/>
  <c r="Q24" i="19" s="1"/>
  <c r="M20" i="19"/>
  <c r="M24" i="19" s="1"/>
  <c r="K20" i="19"/>
  <c r="K24" i="19" s="1"/>
  <c r="G20" i="19"/>
  <c r="E20" i="19"/>
  <c r="E24" i="19" s="1"/>
  <c r="S19" i="19"/>
  <c r="R19" i="19"/>
  <c r="R25" i="19" s="1"/>
  <c r="P19" i="19"/>
  <c r="L19" i="19"/>
  <c r="J19" i="19"/>
  <c r="G19" i="19"/>
  <c r="F19" i="19"/>
  <c r="D19" i="19"/>
  <c r="S18" i="19"/>
  <c r="Q18" i="19"/>
  <c r="M18" i="19"/>
  <c r="K18" i="19"/>
  <c r="K19" i="19" s="1"/>
  <c r="G18" i="19"/>
  <c r="E18" i="19"/>
  <c r="S17" i="19"/>
  <c r="Q17" i="19"/>
  <c r="M17" i="19"/>
  <c r="K17" i="19"/>
  <c r="G17" i="19"/>
  <c r="E17" i="19"/>
  <c r="S16" i="19"/>
  <c r="Q16" i="19"/>
  <c r="M16" i="19"/>
  <c r="M19" i="19" s="1"/>
  <c r="K16" i="19"/>
  <c r="G16" i="19"/>
  <c r="E16" i="19"/>
  <c r="E19" i="19" s="1"/>
  <c r="R15" i="19"/>
  <c r="P15" i="19"/>
  <c r="L15" i="19"/>
  <c r="J15" i="19"/>
  <c r="F15" i="19"/>
  <c r="D15" i="19"/>
  <c r="S14" i="19"/>
  <c r="Q14" i="19"/>
  <c r="M14" i="19"/>
  <c r="K14" i="19"/>
  <c r="G14" i="19"/>
  <c r="E14" i="19"/>
  <c r="S13" i="19"/>
  <c r="Q13" i="19"/>
  <c r="M13" i="19"/>
  <c r="K13" i="19"/>
  <c r="G13" i="19"/>
  <c r="E13" i="19"/>
  <c r="E15" i="19" s="1"/>
  <c r="S12" i="19"/>
  <c r="S15" i="19" s="1"/>
  <c r="Q12" i="19"/>
  <c r="Q15" i="19" s="1"/>
  <c r="M12" i="19"/>
  <c r="M15" i="19" s="1"/>
  <c r="K12" i="19"/>
  <c r="G12" i="19"/>
  <c r="E12" i="19"/>
  <c r="R11" i="19"/>
  <c r="P11" i="19"/>
  <c r="L11" i="19"/>
  <c r="J11" i="19"/>
  <c r="F11" i="19"/>
  <c r="D11" i="19"/>
  <c r="S10" i="19"/>
  <c r="Q10" i="19"/>
  <c r="M10" i="19"/>
  <c r="K10" i="19"/>
  <c r="G10" i="19"/>
  <c r="E10" i="19"/>
  <c r="S9" i="19"/>
  <c r="Q9" i="19"/>
  <c r="M9" i="19"/>
  <c r="K9" i="19"/>
  <c r="G9" i="19"/>
  <c r="E9" i="19"/>
  <c r="S8" i="19"/>
  <c r="S11" i="19" s="1"/>
  <c r="Q8" i="19"/>
  <c r="M8" i="19"/>
  <c r="K8" i="19"/>
  <c r="G8" i="19"/>
  <c r="G11" i="19" s="1"/>
  <c r="E8" i="19"/>
  <c r="S7" i="19"/>
  <c r="Q7" i="19"/>
  <c r="Q11" i="19" s="1"/>
  <c r="M7" i="19"/>
  <c r="M11" i="19" s="1"/>
  <c r="K7" i="19"/>
  <c r="K11" i="19" s="1"/>
  <c r="G7" i="19"/>
  <c r="E7" i="19"/>
  <c r="E11" i="19" s="1"/>
  <c r="J54" i="20" l="1"/>
  <c r="E38" i="19"/>
  <c r="G38" i="19"/>
  <c r="G39" i="19" s="1"/>
  <c r="Q38" i="19"/>
  <c r="Q39" i="19" s="1"/>
  <c r="Q51" i="19" s="1"/>
  <c r="K38" i="19"/>
  <c r="F25" i="19"/>
  <c r="F51" i="19" s="1"/>
  <c r="Q19" i="19"/>
  <c r="Q25" i="19"/>
  <c r="P25" i="19"/>
  <c r="G15" i="19"/>
  <c r="J25" i="19"/>
  <c r="J51" i="19" s="1"/>
  <c r="E25" i="19"/>
  <c r="M25" i="19"/>
  <c r="G25" i="19"/>
  <c r="S25" i="19"/>
  <c r="E39" i="19"/>
  <c r="K39" i="19"/>
  <c r="E50" i="19"/>
  <c r="K50" i="19"/>
  <c r="L51" i="19"/>
  <c r="K15" i="19"/>
  <c r="K25" i="19" s="1"/>
  <c r="D25" i="19"/>
  <c r="M39" i="19"/>
  <c r="S39" i="19"/>
  <c r="G50" i="19"/>
  <c r="M50" i="19"/>
  <c r="S50" i="19"/>
  <c r="D51" i="19"/>
  <c r="P51" i="19"/>
  <c r="R51" i="19"/>
  <c r="S51" i="19" l="1"/>
  <c r="K51" i="19"/>
  <c r="M51" i="19"/>
  <c r="E51" i="19"/>
  <c r="J53" i="19"/>
  <c r="G51" i="19"/>
  <c r="J54" i="19" l="1"/>
  <c r="G60" i="18" l="1"/>
  <c r="H58" i="18"/>
  <c r="M57" i="18"/>
  <c r="I57" i="18"/>
  <c r="D43" i="18" l="1"/>
  <c r="D43" i="16"/>
  <c r="D43" i="13"/>
  <c r="D43" i="12"/>
  <c r="D43" i="11"/>
  <c r="D43" i="10"/>
  <c r="D43" i="9"/>
  <c r="D43" i="7"/>
  <c r="D43" i="6"/>
  <c r="D43" i="4"/>
  <c r="D36" i="16"/>
  <c r="D42" i="16"/>
  <c r="D42" i="18"/>
  <c r="D42" i="13"/>
  <c r="D42" i="12"/>
  <c r="D42" i="11"/>
  <c r="D42" i="10"/>
  <c r="D42" i="9"/>
  <c r="D42" i="7"/>
  <c r="D42" i="6"/>
  <c r="D42" i="4"/>
  <c r="D41" i="18"/>
  <c r="D41" i="16"/>
  <c r="D41" i="13"/>
  <c r="D41" i="12"/>
  <c r="D41" i="11"/>
  <c r="D41" i="10"/>
  <c r="D41" i="9"/>
  <c r="D41" i="7"/>
  <c r="D41" i="6"/>
  <c r="D41" i="4"/>
  <c r="D40" i="18"/>
  <c r="D40" i="16"/>
  <c r="D40" i="13"/>
  <c r="D40" i="12"/>
  <c r="D40" i="11"/>
  <c r="D40" i="10"/>
  <c r="D40" i="9"/>
  <c r="D40" i="7"/>
  <c r="D40" i="6"/>
  <c r="D40" i="4"/>
  <c r="D36" i="18" l="1"/>
  <c r="D36" i="13"/>
  <c r="D36" i="12"/>
  <c r="D36" i="11"/>
  <c r="D36" i="10"/>
  <c r="D36" i="9"/>
  <c r="D36" i="7"/>
  <c r="D36" i="6"/>
  <c r="D36" i="4"/>
  <c r="D35" i="18"/>
  <c r="D35" i="16"/>
  <c r="D35" i="13"/>
  <c r="D35" i="12"/>
  <c r="D35" i="11"/>
  <c r="D35" i="10"/>
  <c r="D35" i="9"/>
  <c r="D35" i="7"/>
  <c r="D35" i="6"/>
  <c r="D35" i="4"/>
  <c r="D34" i="18"/>
  <c r="D34" i="16"/>
  <c r="D34" i="13"/>
  <c r="D34" i="12"/>
  <c r="D34" i="11"/>
  <c r="D34" i="10"/>
  <c r="D34" i="9"/>
  <c r="D34" i="7"/>
  <c r="D34" i="6"/>
  <c r="D34" i="4"/>
  <c r="D49" i="18" l="1"/>
  <c r="F49" i="18"/>
  <c r="J49" i="18"/>
  <c r="L49" i="18"/>
  <c r="P49" i="18"/>
  <c r="R49" i="18"/>
  <c r="D44" i="18"/>
  <c r="F44" i="18"/>
  <c r="J44" i="18"/>
  <c r="L44" i="18"/>
  <c r="L50" i="18" s="1"/>
  <c r="P44" i="18"/>
  <c r="R44" i="18"/>
  <c r="D38" i="18"/>
  <c r="F38" i="18"/>
  <c r="J38" i="18"/>
  <c r="L38" i="18"/>
  <c r="P38" i="18"/>
  <c r="R38" i="18"/>
  <c r="D33" i="18"/>
  <c r="F33" i="18"/>
  <c r="J33" i="18"/>
  <c r="L33" i="18"/>
  <c r="P33" i="18"/>
  <c r="R33" i="18"/>
  <c r="D28" i="18"/>
  <c r="F28" i="18"/>
  <c r="J28" i="18"/>
  <c r="L28" i="18"/>
  <c r="P28" i="18"/>
  <c r="R28" i="18"/>
  <c r="D24" i="18"/>
  <c r="F24" i="18"/>
  <c r="J24" i="18"/>
  <c r="L24" i="18"/>
  <c r="P24" i="18"/>
  <c r="R24" i="18"/>
  <c r="D19" i="18"/>
  <c r="F19" i="18"/>
  <c r="J19" i="18"/>
  <c r="L19" i="18"/>
  <c r="P19" i="18"/>
  <c r="R19" i="18"/>
  <c r="D15" i="18"/>
  <c r="F15" i="18"/>
  <c r="J15" i="18"/>
  <c r="L15" i="18"/>
  <c r="P15" i="18"/>
  <c r="R15" i="18"/>
  <c r="D11" i="18"/>
  <c r="F11" i="18"/>
  <c r="J11" i="18"/>
  <c r="L11" i="18"/>
  <c r="P11" i="18"/>
  <c r="R11" i="18"/>
  <c r="D50" i="18" l="1"/>
  <c r="P25" i="18"/>
  <c r="L25" i="18"/>
  <c r="P39" i="18"/>
  <c r="P50" i="18"/>
  <c r="L39" i="18"/>
  <c r="L51" i="18" s="1"/>
  <c r="R25" i="18"/>
  <c r="F25" i="18"/>
  <c r="R39" i="18"/>
  <c r="F39" i="18"/>
  <c r="D25" i="18"/>
  <c r="J50" i="18"/>
  <c r="R50" i="18"/>
  <c r="F50" i="18"/>
  <c r="D39" i="18"/>
  <c r="J39" i="18"/>
  <c r="J25" i="18"/>
  <c r="P51" i="18" l="1"/>
  <c r="F51" i="18"/>
  <c r="D51" i="18"/>
  <c r="R51" i="18"/>
  <c r="J51" i="18"/>
  <c r="J53" i="18" l="1"/>
  <c r="D49" i="16" l="1"/>
  <c r="F49" i="16"/>
  <c r="J49" i="16"/>
  <c r="L49" i="16"/>
  <c r="L50" i="16" s="1"/>
  <c r="P49" i="16"/>
  <c r="R49" i="16"/>
  <c r="D44" i="16"/>
  <c r="F44" i="16"/>
  <c r="J44" i="16"/>
  <c r="L44" i="16"/>
  <c r="P44" i="16"/>
  <c r="R44" i="16"/>
  <c r="R50" i="16" s="1"/>
  <c r="D38" i="16"/>
  <c r="F38" i="16"/>
  <c r="F39" i="16" s="1"/>
  <c r="J38" i="16"/>
  <c r="L38" i="16"/>
  <c r="P38" i="16"/>
  <c r="P39" i="16" s="1"/>
  <c r="R38" i="16"/>
  <c r="D33" i="16"/>
  <c r="F33" i="16"/>
  <c r="J33" i="16"/>
  <c r="L33" i="16"/>
  <c r="P33" i="16"/>
  <c r="R33" i="16"/>
  <c r="R39" i="16" s="1"/>
  <c r="D28" i="16"/>
  <c r="F28" i="16"/>
  <c r="J28" i="16"/>
  <c r="L28" i="16"/>
  <c r="P28" i="16"/>
  <c r="R28" i="16"/>
  <c r="D24" i="16"/>
  <c r="F24" i="16"/>
  <c r="J24" i="16"/>
  <c r="L24" i="16"/>
  <c r="P24" i="16"/>
  <c r="P25" i="16" s="1"/>
  <c r="R24" i="16"/>
  <c r="D19" i="16"/>
  <c r="F19" i="16"/>
  <c r="J19" i="16"/>
  <c r="L19" i="16"/>
  <c r="P19" i="16"/>
  <c r="R19" i="16"/>
  <c r="D15" i="16"/>
  <c r="F15" i="16"/>
  <c r="J15" i="16"/>
  <c r="L15" i="16"/>
  <c r="P15" i="16"/>
  <c r="R15" i="16"/>
  <c r="D11" i="16"/>
  <c r="F11" i="16"/>
  <c r="J11" i="16"/>
  <c r="L11" i="16"/>
  <c r="L25" i="16" s="1"/>
  <c r="P11" i="16"/>
  <c r="R11" i="16"/>
  <c r="D25" i="16" l="1"/>
  <c r="P50" i="16"/>
  <c r="P51" i="16" s="1"/>
  <c r="L39" i="16"/>
  <c r="R25" i="16"/>
  <c r="F50" i="16"/>
  <c r="R51" i="16"/>
  <c r="J50" i="16"/>
  <c r="D50" i="16"/>
  <c r="L51" i="16"/>
  <c r="J39" i="16"/>
  <c r="D39" i="16"/>
  <c r="J25" i="16"/>
  <c r="F25" i="16"/>
  <c r="F51" i="16" s="1"/>
  <c r="D51" i="16" l="1"/>
  <c r="J51" i="16"/>
  <c r="J60" i="13"/>
  <c r="J54" i="16" l="1"/>
  <c r="D16" i="13" l="1"/>
  <c r="D49" i="13" l="1"/>
  <c r="F49" i="13"/>
  <c r="F50" i="13" s="1"/>
  <c r="J49" i="13"/>
  <c r="L49" i="13"/>
  <c r="L50" i="13" s="1"/>
  <c r="P49" i="13"/>
  <c r="P50" i="13" s="1"/>
  <c r="R49" i="13"/>
  <c r="R50" i="13" s="1"/>
  <c r="D44" i="13"/>
  <c r="F44" i="13"/>
  <c r="J44" i="13"/>
  <c r="L44" i="13"/>
  <c r="P44" i="13"/>
  <c r="R44" i="13"/>
  <c r="D38" i="13"/>
  <c r="F38" i="13"/>
  <c r="J38" i="13"/>
  <c r="L38" i="13"/>
  <c r="L39" i="13" s="1"/>
  <c r="P38" i="13"/>
  <c r="P39" i="13" s="1"/>
  <c r="R38" i="13"/>
  <c r="R39" i="13" s="1"/>
  <c r="D33" i="13"/>
  <c r="F33" i="13"/>
  <c r="J33" i="13"/>
  <c r="L33" i="13"/>
  <c r="P33" i="13"/>
  <c r="R33" i="13"/>
  <c r="D28" i="13"/>
  <c r="F28" i="13"/>
  <c r="J28" i="13"/>
  <c r="L28" i="13"/>
  <c r="P28" i="13"/>
  <c r="R28" i="13"/>
  <c r="D24" i="13"/>
  <c r="F24" i="13"/>
  <c r="F25" i="13" s="1"/>
  <c r="J24" i="13"/>
  <c r="L24" i="13"/>
  <c r="P24" i="13"/>
  <c r="P25" i="13" s="1"/>
  <c r="R24" i="13"/>
  <c r="R25" i="13" s="1"/>
  <c r="D19" i="13"/>
  <c r="F19" i="13"/>
  <c r="J19" i="13"/>
  <c r="L19" i="13"/>
  <c r="P19" i="13"/>
  <c r="R19" i="13"/>
  <c r="D15" i="13"/>
  <c r="F15" i="13"/>
  <c r="J15" i="13"/>
  <c r="L15" i="13"/>
  <c r="P15" i="13"/>
  <c r="R15" i="13"/>
  <c r="D11" i="13"/>
  <c r="F11" i="13"/>
  <c r="J11" i="13"/>
  <c r="L11" i="13"/>
  <c r="P11" i="13"/>
  <c r="R11" i="13"/>
  <c r="R51" i="13" l="1"/>
  <c r="P51" i="13"/>
  <c r="L25" i="13"/>
  <c r="L51" i="13" s="1"/>
  <c r="D25" i="13"/>
  <c r="F39" i="13"/>
  <c r="F51" i="13" s="1"/>
  <c r="J50" i="13"/>
  <c r="D50" i="13"/>
  <c r="J39" i="13"/>
  <c r="D39" i="13"/>
  <c r="J25" i="13"/>
  <c r="D51" i="13" l="1"/>
  <c r="J51" i="13"/>
  <c r="J54" i="13" l="1"/>
  <c r="D49" i="12"/>
  <c r="F49" i="12"/>
  <c r="J49" i="12"/>
  <c r="L49" i="12"/>
  <c r="P49" i="12"/>
  <c r="R49" i="12"/>
  <c r="D44" i="12"/>
  <c r="D50" i="12" s="1"/>
  <c r="F44" i="12"/>
  <c r="J44" i="12"/>
  <c r="L44" i="12"/>
  <c r="L50" i="12" s="1"/>
  <c r="P44" i="12"/>
  <c r="P50" i="12" s="1"/>
  <c r="R44" i="12"/>
  <c r="D38" i="12"/>
  <c r="F38" i="12"/>
  <c r="J38" i="12"/>
  <c r="L38" i="12"/>
  <c r="P38" i="12"/>
  <c r="R38" i="12"/>
  <c r="D33" i="12"/>
  <c r="F33" i="12"/>
  <c r="J33" i="12"/>
  <c r="L33" i="12"/>
  <c r="P33" i="12"/>
  <c r="R33" i="12"/>
  <c r="D28" i="12"/>
  <c r="F28" i="12"/>
  <c r="J28" i="12"/>
  <c r="L28" i="12"/>
  <c r="P28" i="12"/>
  <c r="R28" i="12"/>
  <c r="D24" i="12"/>
  <c r="F24" i="12"/>
  <c r="J24" i="12"/>
  <c r="L24" i="12"/>
  <c r="P24" i="12"/>
  <c r="R24" i="12"/>
  <c r="D19" i="12"/>
  <c r="F19" i="12"/>
  <c r="J19" i="12"/>
  <c r="L19" i="12"/>
  <c r="P19" i="12"/>
  <c r="R19" i="12"/>
  <c r="D15" i="12"/>
  <c r="F15" i="12"/>
  <c r="J15" i="12"/>
  <c r="L15" i="12"/>
  <c r="P15" i="12"/>
  <c r="R15" i="12"/>
  <c r="D11" i="12"/>
  <c r="F11" i="12"/>
  <c r="J11" i="12"/>
  <c r="L11" i="12"/>
  <c r="P11" i="12"/>
  <c r="P25" i="12" s="1"/>
  <c r="R11" i="12"/>
  <c r="L25" i="12" l="1"/>
  <c r="R25" i="12"/>
  <c r="F25" i="12"/>
  <c r="L39" i="12"/>
  <c r="L51" i="12" s="1"/>
  <c r="D25" i="12"/>
  <c r="P39" i="12"/>
  <c r="R39" i="12"/>
  <c r="J50" i="12"/>
  <c r="F39" i="12"/>
  <c r="R50" i="12"/>
  <c r="R51" i="12" s="1"/>
  <c r="F50" i="12"/>
  <c r="F51" i="12"/>
  <c r="D39" i="12"/>
  <c r="D51" i="12" s="1"/>
  <c r="J39" i="12"/>
  <c r="P51" i="12"/>
  <c r="J25" i="12"/>
  <c r="J51" i="12" s="1"/>
  <c r="D37" i="11"/>
  <c r="J54" i="12" l="1"/>
  <c r="N57" i="12" l="1"/>
  <c r="D49" i="11"/>
  <c r="F49" i="11"/>
  <c r="F50" i="11" s="1"/>
  <c r="J49" i="11"/>
  <c r="L49" i="11"/>
  <c r="P49" i="11"/>
  <c r="R49" i="11"/>
  <c r="R50" i="11" s="1"/>
  <c r="D44" i="11"/>
  <c r="F44" i="11"/>
  <c r="J44" i="11"/>
  <c r="L44" i="11"/>
  <c r="P44" i="11"/>
  <c r="R44" i="11"/>
  <c r="D38" i="11"/>
  <c r="F38" i="11"/>
  <c r="J38" i="11"/>
  <c r="L38" i="11"/>
  <c r="L39" i="11" s="1"/>
  <c r="P38" i="11"/>
  <c r="R38" i="11"/>
  <c r="D33" i="11"/>
  <c r="F33" i="11"/>
  <c r="J33" i="11"/>
  <c r="L33" i="11"/>
  <c r="P33" i="11"/>
  <c r="R33" i="11"/>
  <c r="D28" i="11"/>
  <c r="F28" i="11"/>
  <c r="J28" i="11"/>
  <c r="L28" i="11"/>
  <c r="P28" i="11"/>
  <c r="R28" i="11"/>
  <c r="D24" i="11"/>
  <c r="F24" i="11"/>
  <c r="F25" i="11" s="1"/>
  <c r="J24" i="11"/>
  <c r="L24" i="11"/>
  <c r="P24" i="11"/>
  <c r="R24" i="11"/>
  <c r="D19" i="11"/>
  <c r="F19" i="11"/>
  <c r="J19" i="11"/>
  <c r="L19" i="11"/>
  <c r="P19" i="11"/>
  <c r="R19" i="11"/>
  <c r="D15" i="11"/>
  <c r="F15" i="11"/>
  <c r="J15" i="11"/>
  <c r="L15" i="11"/>
  <c r="P15" i="11"/>
  <c r="R15" i="11"/>
  <c r="D11" i="11"/>
  <c r="F11" i="11"/>
  <c r="J11" i="11"/>
  <c r="L11" i="11"/>
  <c r="P11" i="11"/>
  <c r="R11" i="11"/>
  <c r="J50" i="11"/>
  <c r="P50" i="11"/>
  <c r="L50" i="11"/>
  <c r="R39" i="11" l="1"/>
  <c r="F39" i="11"/>
  <c r="F51" i="11" s="1"/>
  <c r="R25" i="11"/>
  <c r="P25" i="11"/>
  <c r="L25" i="11"/>
  <c r="L51" i="11" s="1"/>
  <c r="R51" i="11"/>
  <c r="P39" i="11"/>
  <c r="P51" i="11" s="1"/>
  <c r="D25" i="11"/>
  <c r="J39" i="11"/>
  <c r="D39" i="11"/>
  <c r="J25" i="11"/>
  <c r="D50" i="11"/>
  <c r="D37" i="10"/>
  <c r="J51" i="11" l="1"/>
  <c r="D51" i="11"/>
  <c r="J54" i="11" l="1"/>
  <c r="J14" i="10"/>
  <c r="J13" i="10"/>
  <c r="J12" i="10"/>
  <c r="D49" i="10" l="1"/>
  <c r="F49" i="10"/>
  <c r="J49" i="10"/>
  <c r="L49" i="10"/>
  <c r="P49" i="10"/>
  <c r="R49" i="10"/>
  <c r="R50" i="10"/>
  <c r="D44" i="10"/>
  <c r="F44" i="10"/>
  <c r="F50" i="10" s="1"/>
  <c r="J44" i="10"/>
  <c r="L44" i="10"/>
  <c r="P44" i="10"/>
  <c r="R44" i="10"/>
  <c r="D38" i="10"/>
  <c r="F38" i="10"/>
  <c r="J38" i="10"/>
  <c r="L38" i="10"/>
  <c r="P38" i="10"/>
  <c r="R38" i="10"/>
  <c r="D33" i="10"/>
  <c r="F33" i="10"/>
  <c r="J33" i="10"/>
  <c r="L33" i="10"/>
  <c r="P33" i="10"/>
  <c r="R33" i="10"/>
  <c r="D28" i="10"/>
  <c r="F28" i="10"/>
  <c r="J28" i="10"/>
  <c r="L28" i="10"/>
  <c r="P28" i="10"/>
  <c r="R28" i="10"/>
  <c r="D24" i="10"/>
  <c r="F24" i="10"/>
  <c r="J24" i="10"/>
  <c r="L24" i="10"/>
  <c r="P24" i="10"/>
  <c r="R24" i="10"/>
  <c r="D19" i="10"/>
  <c r="F19" i="10"/>
  <c r="J19" i="10"/>
  <c r="L19" i="10"/>
  <c r="P19" i="10"/>
  <c r="R19" i="10"/>
  <c r="D15" i="10"/>
  <c r="F15" i="10"/>
  <c r="J15" i="10"/>
  <c r="L15" i="10"/>
  <c r="P15" i="10"/>
  <c r="R15" i="10"/>
  <c r="D11" i="10"/>
  <c r="F11" i="10"/>
  <c r="J11" i="10"/>
  <c r="L11" i="10"/>
  <c r="P11" i="10"/>
  <c r="R11" i="10"/>
  <c r="L25" i="10" l="1"/>
  <c r="P25" i="10"/>
  <c r="D25" i="10"/>
  <c r="J50" i="10"/>
  <c r="L39" i="10"/>
  <c r="P39" i="10"/>
  <c r="L50" i="10"/>
  <c r="F39" i="10"/>
  <c r="R39" i="10"/>
  <c r="L51" i="10"/>
  <c r="P50" i="10"/>
  <c r="P51" i="10" s="1"/>
  <c r="D50" i="10"/>
  <c r="D39" i="10"/>
  <c r="J39" i="10"/>
  <c r="R25" i="10"/>
  <c r="R51" i="10"/>
  <c r="F25" i="10"/>
  <c r="J25" i="10"/>
  <c r="D37" i="9"/>
  <c r="F51" i="10" l="1"/>
  <c r="D51" i="10"/>
  <c r="J51" i="10"/>
  <c r="J54" i="10" l="1"/>
  <c r="D49" i="9" l="1"/>
  <c r="F49" i="9"/>
  <c r="F50" i="9" s="1"/>
  <c r="J49" i="9"/>
  <c r="J50" i="9" s="1"/>
  <c r="L49" i="9"/>
  <c r="L50" i="9" s="1"/>
  <c r="P49" i="9"/>
  <c r="P50" i="9" s="1"/>
  <c r="R49" i="9"/>
  <c r="R50" i="9" s="1"/>
  <c r="D44" i="9"/>
  <c r="F44" i="9"/>
  <c r="J44" i="9"/>
  <c r="L44" i="9"/>
  <c r="P44" i="9"/>
  <c r="R44" i="9"/>
  <c r="D38" i="9"/>
  <c r="F38" i="9"/>
  <c r="J38" i="9"/>
  <c r="L38" i="9"/>
  <c r="L39" i="9" s="1"/>
  <c r="P38" i="9"/>
  <c r="P39" i="9" s="1"/>
  <c r="R38" i="9"/>
  <c r="R39" i="9" s="1"/>
  <c r="D33" i="9"/>
  <c r="F33" i="9"/>
  <c r="J33" i="9"/>
  <c r="L33" i="9"/>
  <c r="P33" i="9"/>
  <c r="R33" i="9"/>
  <c r="D28" i="9"/>
  <c r="F28" i="9"/>
  <c r="J28" i="9"/>
  <c r="L28" i="9"/>
  <c r="P28" i="9"/>
  <c r="R28" i="9"/>
  <c r="D24" i="9"/>
  <c r="D25" i="9" s="1"/>
  <c r="F24" i="9"/>
  <c r="J24" i="9"/>
  <c r="L24" i="9"/>
  <c r="L25" i="9" s="1"/>
  <c r="P24" i="9"/>
  <c r="P25" i="9" s="1"/>
  <c r="R24" i="9"/>
  <c r="R25" i="9" s="1"/>
  <c r="R51" i="9" s="1"/>
  <c r="D19" i="9"/>
  <c r="F19" i="9"/>
  <c r="J19" i="9"/>
  <c r="L19" i="9"/>
  <c r="P19" i="9"/>
  <c r="R19" i="9"/>
  <c r="D15" i="9"/>
  <c r="F15" i="9"/>
  <c r="J15" i="9"/>
  <c r="L15" i="9"/>
  <c r="P15" i="9"/>
  <c r="R15" i="9"/>
  <c r="D11" i="9"/>
  <c r="F11" i="9"/>
  <c r="J11" i="9"/>
  <c r="L11" i="9"/>
  <c r="P11" i="9"/>
  <c r="R11" i="9"/>
  <c r="P51" i="9" l="1"/>
  <c r="L51" i="9"/>
  <c r="F25" i="9"/>
  <c r="F39" i="9"/>
  <c r="F51" i="9" s="1"/>
  <c r="D50" i="9"/>
  <c r="J39" i="9"/>
  <c r="D39" i="9"/>
  <c r="J25" i="9"/>
  <c r="D51" i="9" l="1"/>
  <c r="J51" i="9"/>
  <c r="R49" i="8"/>
  <c r="R50" i="8" s="1"/>
  <c r="P49" i="8"/>
  <c r="L49" i="8"/>
  <c r="J49" i="8"/>
  <c r="F49" i="8"/>
  <c r="F50" i="8" s="1"/>
  <c r="D49" i="8"/>
  <c r="S48" i="8"/>
  <c r="Q48" i="8"/>
  <c r="O48" i="8"/>
  <c r="T48" i="8" s="1"/>
  <c r="O48" i="4" s="1"/>
  <c r="M48" i="8"/>
  <c r="K48" i="8"/>
  <c r="I48" i="8"/>
  <c r="N48" i="8" s="1"/>
  <c r="I48" i="4" s="1"/>
  <c r="G48" i="8"/>
  <c r="E48" i="8"/>
  <c r="C48" i="8"/>
  <c r="H48" i="8" s="1"/>
  <c r="C48" i="4" s="1"/>
  <c r="S47" i="8"/>
  <c r="Q47" i="8"/>
  <c r="O47" i="8"/>
  <c r="T47" i="8" s="1"/>
  <c r="O47" i="4" s="1"/>
  <c r="M47" i="8"/>
  <c r="K47" i="8"/>
  <c r="I47" i="8"/>
  <c r="N47" i="8" s="1"/>
  <c r="I47" i="4" s="1"/>
  <c r="G47" i="8"/>
  <c r="E47" i="8"/>
  <c r="C47" i="8"/>
  <c r="H47" i="8" s="1"/>
  <c r="C47" i="4" s="1"/>
  <c r="S46" i="8"/>
  <c r="Q46" i="8"/>
  <c r="O46" i="8"/>
  <c r="T46" i="8" s="1"/>
  <c r="O46" i="4" s="1"/>
  <c r="M46" i="8"/>
  <c r="K46" i="8"/>
  <c r="I46" i="8"/>
  <c r="G46" i="8"/>
  <c r="E46" i="8"/>
  <c r="C46" i="8"/>
  <c r="H46" i="8" s="1"/>
  <c r="C46" i="4" s="1"/>
  <c r="S45" i="8"/>
  <c r="Q45" i="8"/>
  <c r="O45" i="8"/>
  <c r="M45" i="8"/>
  <c r="K45" i="8"/>
  <c r="I45" i="8"/>
  <c r="N45" i="8" s="1"/>
  <c r="I45" i="4" s="1"/>
  <c r="G45" i="8"/>
  <c r="E45" i="8"/>
  <c r="C45" i="8"/>
  <c r="R44" i="8"/>
  <c r="P44" i="8"/>
  <c r="L44" i="8"/>
  <c r="J44" i="8"/>
  <c r="J50" i="8" s="1"/>
  <c r="F44" i="8"/>
  <c r="S43" i="8"/>
  <c r="Q43" i="8"/>
  <c r="O43" i="8"/>
  <c r="T43" i="8" s="1"/>
  <c r="O43" i="4" s="1"/>
  <c r="M43" i="8"/>
  <c r="K43" i="8"/>
  <c r="I43" i="8"/>
  <c r="N43" i="8" s="1"/>
  <c r="I43" i="4" s="1"/>
  <c r="G43" i="8"/>
  <c r="E43" i="8"/>
  <c r="D43" i="8"/>
  <c r="C43" i="8"/>
  <c r="H43" i="8" s="1"/>
  <c r="C43" i="4" s="1"/>
  <c r="S42" i="8"/>
  <c r="Q42" i="8"/>
  <c r="O42" i="8"/>
  <c r="T42" i="8" s="1"/>
  <c r="O42" i="4" s="1"/>
  <c r="M42" i="8"/>
  <c r="K42" i="8"/>
  <c r="I42" i="8"/>
  <c r="N42" i="8" s="1"/>
  <c r="I42" i="4" s="1"/>
  <c r="G42" i="8"/>
  <c r="E42" i="8"/>
  <c r="C42" i="8"/>
  <c r="S41" i="8"/>
  <c r="Q41" i="8"/>
  <c r="O41" i="8"/>
  <c r="M41" i="8"/>
  <c r="K41" i="8"/>
  <c r="I41" i="8"/>
  <c r="N41" i="8" s="1"/>
  <c r="I41" i="4" s="1"/>
  <c r="G41" i="8"/>
  <c r="D41" i="8"/>
  <c r="D44" i="8" s="1"/>
  <c r="C41" i="8"/>
  <c r="S40" i="8"/>
  <c r="Q40" i="8"/>
  <c r="O40" i="8"/>
  <c r="T40" i="8" s="1"/>
  <c r="O40" i="4" s="1"/>
  <c r="M40" i="8"/>
  <c r="K40" i="8"/>
  <c r="I40" i="8"/>
  <c r="N40" i="8" s="1"/>
  <c r="I40" i="4" s="1"/>
  <c r="G40" i="8"/>
  <c r="E40" i="8"/>
  <c r="C40" i="8"/>
  <c r="H40" i="8" s="1"/>
  <c r="C40" i="4" s="1"/>
  <c r="R38" i="8"/>
  <c r="P38" i="8"/>
  <c r="L38" i="8"/>
  <c r="J38" i="8"/>
  <c r="F38" i="8"/>
  <c r="S37" i="8"/>
  <c r="Q37" i="8"/>
  <c r="O37" i="8"/>
  <c r="T37" i="8" s="1"/>
  <c r="O37" i="4" s="1"/>
  <c r="M37" i="8"/>
  <c r="K37" i="8"/>
  <c r="I37" i="8"/>
  <c r="N37" i="8" s="1"/>
  <c r="I37" i="4" s="1"/>
  <c r="G37" i="8"/>
  <c r="E37" i="8"/>
  <c r="D37" i="8"/>
  <c r="C37" i="8"/>
  <c r="S36" i="8"/>
  <c r="Q36" i="8"/>
  <c r="O36" i="8"/>
  <c r="T36" i="8" s="1"/>
  <c r="O36" i="4" s="1"/>
  <c r="M36" i="8"/>
  <c r="K36" i="8"/>
  <c r="I36" i="8"/>
  <c r="N36" i="8" s="1"/>
  <c r="I36" i="4" s="1"/>
  <c r="G36" i="8"/>
  <c r="E36" i="8"/>
  <c r="C36" i="8"/>
  <c r="S35" i="8"/>
  <c r="Q35" i="8"/>
  <c r="O35" i="8"/>
  <c r="M35" i="8"/>
  <c r="K35" i="8"/>
  <c r="I35" i="8"/>
  <c r="N35" i="8" s="1"/>
  <c r="I35" i="4" s="1"/>
  <c r="G35" i="8"/>
  <c r="D35" i="8"/>
  <c r="D38" i="8" s="1"/>
  <c r="D39" i="8" s="1"/>
  <c r="C35" i="8"/>
  <c r="S34" i="8"/>
  <c r="Q34" i="8"/>
  <c r="O34" i="8"/>
  <c r="T34" i="8" s="1"/>
  <c r="O34" i="4" s="1"/>
  <c r="M34" i="8"/>
  <c r="K34" i="8"/>
  <c r="I34" i="8"/>
  <c r="G34" i="8"/>
  <c r="E34" i="8"/>
  <c r="C34" i="8"/>
  <c r="H34" i="8" s="1"/>
  <c r="C34" i="4" s="1"/>
  <c r="R33" i="8"/>
  <c r="P33" i="8"/>
  <c r="L33" i="8"/>
  <c r="J33" i="8"/>
  <c r="F33" i="8"/>
  <c r="D33" i="8"/>
  <c r="S32" i="8"/>
  <c r="Q32" i="8"/>
  <c r="O32" i="8"/>
  <c r="T32" i="8" s="1"/>
  <c r="O32" i="4" s="1"/>
  <c r="M32" i="8"/>
  <c r="K32" i="8"/>
  <c r="I32" i="8"/>
  <c r="N32" i="8" s="1"/>
  <c r="I32" i="4" s="1"/>
  <c r="G32" i="8"/>
  <c r="E32" i="8"/>
  <c r="C32" i="8"/>
  <c r="H32" i="8" s="1"/>
  <c r="C32" i="4" s="1"/>
  <c r="S31" i="8"/>
  <c r="Q31" i="8"/>
  <c r="O31" i="8"/>
  <c r="T31" i="8" s="1"/>
  <c r="O31" i="4" s="1"/>
  <c r="M31" i="8"/>
  <c r="K31" i="8"/>
  <c r="I31" i="8"/>
  <c r="G31" i="8"/>
  <c r="E31" i="8"/>
  <c r="C31" i="8"/>
  <c r="H31" i="8" s="1"/>
  <c r="C31" i="4" s="1"/>
  <c r="S30" i="8"/>
  <c r="Q30" i="8"/>
  <c r="O30" i="8"/>
  <c r="T30" i="8" s="1"/>
  <c r="O30" i="4" s="1"/>
  <c r="M30" i="8"/>
  <c r="K30" i="8"/>
  <c r="I30" i="8"/>
  <c r="N30" i="8" s="1"/>
  <c r="I30" i="4" s="1"/>
  <c r="G30" i="8"/>
  <c r="E30" i="8"/>
  <c r="C30" i="8"/>
  <c r="H30" i="8" s="1"/>
  <c r="C30" i="4" s="1"/>
  <c r="S29" i="8"/>
  <c r="Q29" i="8"/>
  <c r="O29" i="8"/>
  <c r="M29" i="8"/>
  <c r="K29" i="8"/>
  <c r="I29" i="8"/>
  <c r="N29" i="8" s="1"/>
  <c r="I29" i="4" s="1"/>
  <c r="G29" i="8"/>
  <c r="E29" i="8"/>
  <c r="C29" i="8"/>
  <c r="R28" i="8"/>
  <c r="P28" i="8"/>
  <c r="L28" i="8"/>
  <c r="J28" i="8"/>
  <c r="F28" i="8"/>
  <c r="D28" i="8"/>
  <c r="S27" i="8"/>
  <c r="Q27" i="8"/>
  <c r="O27" i="8"/>
  <c r="T27" i="8" s="1"/>
  <c r="O27" i="4" s="1"/>
  <c r="M27" i="8"/>
  <c r="K27" i="8"/>
  <c r="I27" i="8"/>
  <c r="N27" i="8" s="1"/>
  <c r="I27" i="4" s="1"/>
  <c r="G27" i="8"/>
  <c r="E27" i="8"/>
  <c r="C27" i="8"/>
  <c r="H27" i="8" s="1"/>
  <c r="C27" i="4" s="1"/>
  <c r="S26" i="8"/>
  <c r="Q26" i="8"/>
  <c r="O26" i="8"/>
  <c r="T26" i="8" s="1"/>
  <c r="O26" i="4" s="1"/>
  <c r="M26" i="8"/>
  <c r="K26" i="8"/>
  <c r="I26" i="8"/>
  <c r="G26" i="8"/>
  <c r="E26" i="8"/>
  <c r="C26" i="8"/>
  <c r="H26" i="8" s="1"/>
  <c r="C26" i="4" s="1"/>
  <c r="R24" i="8"/>
  <c r="P24" i="8"/>
  <c r="L24" i="8"/>
  <c r="J24" i="8"/>
  <c r="F24" i="8"/>
  <c r="D24" i="8"/>
  <c r="S23" i="8"/>
  <c r="Q23" i="8"/>
  <c r="O23" i="8"/>
  <c r="T23" i="8" s="1"/>
  <c r="O23" i="4" s="1"/>
  <c r="M23" i="8"/>
  <c r="K23" i="8"/>
  <c r="I23" i="8"/>
  <c r="N23" i="8" s="1"/>
  <c r="I23" i="4" s="1"/>
  <c r="G23" i="8"/>
  <c r="E23" i="8"/>
  <c r="C23" i="8"/>
  <c r="H23" i="8" s="1"/>
  <c r="C23" i="4" s="1"/>
  <c r="S22" i="8"/>
  <c r="Q22" i="8"/>
  <c r="O22" i="8"/>
  <c r="T22" i="8" s="1"/>
  <c r="O22" i="4" s="1"/>
  <c r="M22" i="8"/>
  <c r="K22" i="8"/>
  <c r="I22" i="8"/>
  <c r="N22" i="8" s="1"/>
  <c r="I22" i="4" s="1"/>
  <c r="G22" i="8"/>
  <c r="E22" i="8"/>
  <c r="C22" i="8"/>
  <c r="H22" i="8" s="1"/>
  <c r="C22" i="4" s="1"/>
  <c r="S21" i="8"/>
  <c r="Q21" i="8"/>
  <c r="O21" i="8"/>
  <c r="T21" i="8" s="1"/>
  <c r="O21" i="4" s="1"/>
  <c r="M21" i="8"/>
  <c r="K21" i="8"/>
  <c r="I21" i="8"/>
  <c r="N21" i="8" s="1"/>
  <c r="I21" i="4" s="1"/>
  <c r="G21" i="8"/>
  <c r="E21" i="8"/>
  <c r="C21" i="8"/>
  <c r="H21" i="8" s="1"/>
  <c r="C21" i="4" s="1"/>
  <c r="S20" i="8"/>
  <c r="Q20" i="8"/>
  <c r="O20" i="8"/>
  <c r="M20" i="8"/>
  <c r="K20" i="8"/>
  <c r="I20" i="8"/>
  <c r="G20" i="8"/>
  <c r="E20" i="8"/>
  <c r="C20" i="8"/>
  <c r="R19" i="8"/>
  <c r="P19" i="8"/>
  <c r="L19" i="8"/>
  <c r="J19" i="8"/>
  <c r="F19" i="8"/>
  <c r="D19" i="8"/>
  <c r="S18" i="8"/>
  <c r="Q18" i="8"/>
  <c r="O18" i="8"/>
  <c r="T18" i="8" s="1"/>
  <c r="O18" i="4" s="1"/>
  <c r="M18" i="8"/>
  <c r="K18" i="8"/>
  <c r="I18" i="8"/>
  <c r="N18" i="8" s="1"/>
  <c r="I18" i="4" s="1"/>
  <c r="G18" i="8"/>
  <c r="E18" i="8"/>
  <c r="C18" i="8"/>
  <c r="H18" i="8" s="1"/>
  <c r="C18" i="4" s="1"/>
  <c r="S17" i="8"/>
  <c r="Q17" i="8"/>
  <c r="O17" i="8"/>
  <c r="T17" i="8" s="1"/>
  <c r="O17" i="4" s="1"/>
  <c r="M17" i="8"/>
  <c r="K17" i="8"/>
  <c r="I17" i="8"/>
  <c r="N17" i="8" s="1"/>
  <c r="I17" i="4" s="1"/>
  <c r="G17" i="8"/>
  <c r="E17" i="8"/>
  <c r="C17" i="8"/>
  <c r="H17" i="8" s="1"/>
  <c r="C17" i="4" s="1"/>
  <c r="S16" i="8"/>
  <c r="Q16" i="8"/>
  <c r="O16" i="8"/>
  <c r="T16" i="8" s="1"/>
  <c r="O16" i="4" s="1"/>
  <c r="M16" i="8"/>
  <c r="K16" i="8"/>
  <c r="I16" i="8"/>
  <c r="N16" i="8" s="1"/>
  <c r="I16" i="4" s="1"/>
  <c r="G16" i="8"/>
  <c r="E16" i="8"/>
  <c r="C16" i="8"/>
  <c r="R15" i="8"/>
  <c r="P15" i="8"/>
  <c r="L15" i="8"/>
  <c r="J15" i="8"/>
  <c r="F15" i="8"/>
  <c r="D15" i="8"/>
  <c r="S14" i="8"/>
  <c r="Q14" i="8"/>
  <c r="O14" i="8"/>
  <c r="T14" i="8" s="1"/>
  <c r="O14" i="4" s="1"/>
  <c r="M14" i="8"/>
  <c r="K14" i="8"/>
  <c r="I14" i="8"/>
  <c r="N14" i="8" s="1"/>
  <c r="I14" i="4" s="1"/>
  <c r="G14" i="8"/>
  <c r="E14" i="8"/>
  <c r="C14" i="8"/>
  <c r="H14" i="8" s="1"/>
  <c r="C14" i="4" s="1"/>
  <c r="S13" i="8"/>
  <c r="Q13" i="8"/>
  <c r="O13" i="8"/>
  <c r="T13" i="8" s="1"/>
  <c r="O13" i="4" s="1"/>
  <c r="M13" i="8"/>
  <c r="K13" i="8"/>
  <c r="I13" i="8"/>
  <c r="N13" i="8" s="1"/>
  <c r="I13" i="4" s="1"/>
  <c r="G13" i="8"/>
  <c r="E13" i="8"/>
  <c r="C13" i="8"/>
  <c r="H13" i="8" s="1"/>
  <c r="C13" i="4" s="1"/>
  <c r="S12" i="8"/>
  <c r="Q12" i="8"/>
  <c r="O12" i="8"/>
  <c r="M12" i="8"/>
  <c r="K12" i="8"/>
  <c r="I12" i="8"/>
  <c r="N12" i="8" s="1"/>
  <c r="I12" i="4" s="1"/>
  <c r="G12" i="8"/>
  <c r="E12" i="8"/>
  <c r="C12" i="8"/>
  <c r="R11" i="8"/>
  <c r="P11" i="8"/>
  <c r="L11" i="8"/>
  <c r="J11" i="8"/>
  <c r="F11" i="8"/>
  <c r="D11" i="8"/>
  <c r="S10" i="8"/>
  <c r="Q10" i="8"/>
  <c r="O10" i="8"/>
  <c r="T10" i="8" s="1"/>
  <c r="O10" i="4" s="1"/>
  <c r="M10" i="8"/>
  <c r="K10" i="8"/>
  <c r="I10" i="8"/>
  <c r="N10" i="8" s="1"/>
  <c r="I10" i="4" s="1"/>
  <c r="G10" i="8"/>
  <c r="E10" i="8"/>
  <c r="C10" i="8"/>
  <c r="H10" i="8" s="1"/>
  <c r="C10" i="4" s="1"/>
  <c r="S9" i="8"/>
  <c r="Q9" i="8"/>
  <c r="O9" i="8"/>
  <c r="T9" i="8" s="1"/>
  <c r="O9" i="4" s="1"/>
  <c r="M9" i="8"/>
  <c r="K9" i="8"/>
  <c r="I9" i="8"/>
  <c r="N9" i="8" s="1"/>
  <c r="I9" i="4" s="1"/>
  <c r="G9" i="8"/>
  <c r="E9" i="8"/>
  <c r="C9" i="8"/>
  <c r="H9" i="8" s="1"/>
  <c r="C9" i="4" s="1"/>
  <c r="S8" i="8"/>
  <c r="Q8" i="8"/>
  <c r="O8" i="8"/>
  <c r="T8" i="8" s="1"/>
  <c r="O8" i="4" s="1"/>
  <c r="M8" i="8"/>
  <c r="K8" i="8"/>
  <c r="I8" i="8"/>
  <c r="N8" i="8" s="1"/>
  <c r="I8" i="4" s="1"/>
  <c r="G8" i="8"/>
  <c r="E8" i="8"/>
  <c r="C8" i="8"/>
  <c r="H8" i="8" s="1"/>
  <c r="C8" i="4" s="1"/>
  <c r="S7" i="8"/>
  <c r="Q7" i="8"/>
  <c r="O7" i="8"/>
  <c r="M7" i="8"/>
  <c r="K7" i="8"/>
  <c r="I7" i="8"/>
  <c r="G7" i="8"/>
  <c r="E7" i="8"/>
  <c r="C7" i="8"/>
  <c r="F39" i="8" l="1"/>
  <c r="R39" i="8"/>
  <c r="E35" i="8"/>
  <c r="E41" i="8"/>
  <c r="E44" i="8" s="1"/>
  <c r="P50" i="8"/>
  <c r="J25" i="8"/>
  <c r="D25" i="8"/>
  <c r="J39" i="8"/>
  <c r="H37" i="8"/>
  <c r="C37" i="4" s="1"/>
  <c r="H35" i="8"/>
  <c r="C35" i="4" s="1"/>
  <c r="L39" i="8"/>
  <c r="H41" i="8"/>
  <c r="C41" i="4" s="1"/>
  <c r="P39" i="8"/>
  <c r="L50" i="8"/>
  <c r="G28" i="8"/>
  <c r="U10" i="8"/>
  <c r="E19" i="8"/>
  <c r="M19" i="8"/>
  <c r="I28" i="8"/>
  <c r="N28" i="8" s="1"/>
  <c r="I28" i="4" s="1"/>
  <c r="U13" i="8"/>
  <c r="C11" i="8"/>
  <c r="H11" i="8" s="1"/>
  <c r="C11" i="4" s="1"/>
  <c r="K24" i="8"/>
  <c r="G19" i="8"/>
  <c r="S38" i="8"/>
  <c r="O49" i="8"/>
  <c r="T49" i="8" s="1"/>
  <c r="O49" i="4" s="1"/>
  <c r="U47" i="8"/>
  <c r="U40" i="8"/>
  <c r="I11" i="8"/>
  <c r="N11" i="8" s="1"/>
  <c r="I11" i="4" s="1"/>
  <c r="C19" i="8"/>
  <c r="H19" i="8" s="1"/>
  <c r="C19" i="4" s="1"/>
  <c r="S19" i="8"/>
  <c r="E49" i="8"/>
  <c r="U21" i="8"/>
  <c r="Q33" i="8"/>
  <c r="M38" i="8"/>
  <c r="Q49" i="8"/>
  <c r="Q19" i="8"/>
  <c r="G24" i="8"/>
  <c r="O24" i="8"/>
  <c r="T24" i="8" s="1"/>
  <c r="O24" i="4" s="1"/>
  <c r="M44" i="8"/>
  <c r="C49" i="8"/>
  <c r="H49" i="8" s="1"/>
  <c r="C49" i="4" s="1"/>
  <c r="K49" i="8"/>
  <c r="U48" i="8"/>
  <c r="S28" i="8"/>
  <c r="U17" i="8"/>
  <c r="O11" i="8"/>
  <c r="T11" i="8" s="1"/>
  <c r="O11" i="4" s="1"/>
  <c r="H16" i="8"/>
  <c r="M28" i="8"/>
  <c r="E33" i="8"/>
  <c r="M33" i="8"/>
  <c r="I38" i="8"/>
  <c r="E38" i="8"/>
  <c r="H45" i="8"/>
  <c r="C45" i="4" s="1"/>
  <c r="T45" i="8"/>
  <c r="O45" i="4" s="1"/>
  <c r="E15" i="8"/>
  <c r="S24" i="8"/>
  <c r="G33" i="8"/>
  <c r="G44" i="8"/>
  <c r="C33" i="8"/>
  <c r="H33" i="8" s="1"/>
  <c r="C33" i="4" s="1"/>
  <c r="K33" i="8"/>
  <c r="S33" i="8"/>
  <c r="G38" i="8"/>
  <c r="G49" i="8"/>
  <c r="U14" i="8"/>
  <c r="U32" i="8"/>
  <c r="U8" i="8"/>
  <c r="U22" i="8"/>
  <c r="U9" i="8"/>
  <c r="U23" i="8"/>
  <c r="U27" i="8"/>
  <c r="H7" i="8"/>
  <c r="C7" i="4" s="1"/>
  <c r="N7" i="8"/>
  <c r="I7" i="4" s="1"/>
  <c r="T7" i="8"/>
  <c r="O7" i="4" s="1"/>
  <c r="K15" i="8"/>
  <c r="K19" i="8"/>
  <c r="C28" i="8"/>
  <c r="H28" i="8" s="1"/>
  <c r="C28" i="4" s="1"/>
  <c r="O33" i="8"/>
  <c r="T33" i="8" s="1"/>
  <c r="O33" i="4" s="1"/>
  <c r="I33" i="8"/>
  <c r="N33" i="8" s="1"/>
  <c r="I33" i="4" s="1"/>
  <c r="Q38" i="8"/>
  <c r="O44" i="8"/>
  <c r="T44" i="8" s="1"/>
  <c r="O44" i="4" s="1"/>
  <c r="U43" i="8"/>
  <c r="I49" i="8"/>
  <c r="N49" i="8" s="1"/>
  <c r="I49" i="4" s="1"/>
  <c r="K11" i="8"/>
  <c r="O19" i="8"/>
  <c r="T19" i="8" s="1"/>
  <c r="O19" i="4" s="1"/>
  <c r="E24" i="8"/>
  <c r="M24" i="8"/>
  <c r="E28" i="8"/>
  <c r="K28" i="8"/>
  <c r="Q28" i="8"/>
  <c r="O28" i="8"/>
  <c r="T28" i="8" s="1"/>
  <c r="O28" i="4" s="1"/>
  <c r="K38" i="8"/>
  <c r="I44" i="8"/>
  <c r="N44" i="8" s="1"/>
  <c r="I44" i="4" s="1"/>
  <c r="Q44" i="8"/>
  <c r="C38" i="8"/>
  <c r="H38" i="8" s="1"/>
  <c r="C38" i="4" s="1"/>
  <c r="K44" i="8"/>
  <c r="M11" i="8"/>
  <c r="G11" i="8"/>
  <c r="S11" i="8"/>
  <c r="Q15" i="8"/>
  <c r="M15" i="8"/>
  <c r="I19" i="8"/>
  <c r="N19" i="8" s="1"/>
  <c r="I19" i="4" s="1"/>
  <c r="I24" i="8"/>
  <c r="N24" i="8" s="1"/>
  <c r="I24" i="4" s="1"/>
  <c r="Q24" i="8"/>
  <c r="N26" i="8"/>
  <c r="H29" i="8"/>
  <c r="C29" i="4" s="1"/>
  <c r="T29" i="8"/>
  <c r="O29" i="4" s="1"/>
  <c r="N34" i="8"/>
  <c r="O38" i="8"/>
  <c r="T38" i="8" s="1"/>
  <c r="O38" i="4" s="1"/>
  <c r="S44" i="8"/>
  <c r="C44" i="8"/>
  <c r="M49" i="8"/>
  <c r="S49" i="8"/>
  <c r="G15" i="8"/>
  <c r="R25" i="8"/>
  <c r="P25" i="8"/>
  <c r="P51" i="8" s="1"/>
  <c r="F25" i="8"/>
  <c r="F51" i="8" s="1"/>
  <c r="E11" i="8"/>
  <c r="Q11" i="8"/>
  <c r="C15" i="8"/>
  <c r="H15" i="8" s="1"/>
  <c r="C15" i="4" s="1"/>
  <c r="H12" i="8"/>
  <c r="C12" i="4" s="1"/>
  <c r="S15" i="8"/>
  <c r="U18" i="8"/>
  <c r="C24" i="8"/>
  <c r="U30" i="8"/>
  <c r="L25" i="8"/>
  <c r="L51" i="8" s="1"/>
  <c r="J51" i="8"/>
  <c r="O15" i="8"/>
  <c r="T15" i="8" s="1"/>
  <c r="O15" i="4" s="1"/>
  <c r="T12" i="8"/>
  <c r="O12" i="4" s="1"/>
  <c r="I15" i="8"/>
  <c r="N15" i="8" s="1"/>
  <c r="I15" i="4" s="1"/>
  <c r="D50" i="8"/>
  <c r="D51" i="8" s="1"/>
  <c r="R51" i="8"/>
  <c r="H20" i="8"/>
  <c r="C20" i="4" s="1"/>
  <c r="N20" i="8"/>
  <c r="I20" i="4" s="1"/>
  <c r="T20" i="8"/>
  <c r="O20" i="4" s="1"/>
  <c r="T35" i="8"/>
  <c r="T41" i="8"/>
  <c r="O41" i="4" s="1"/>
  <c r="N46" i="8"/>
  <c r="N31" i="8"/>
  <c r="H36" i="8"/>
  <c r="H42" i="8"/>
  <c r="U37" i="8" l="1"/>
  <c r="U42" i="8"/>
  <c r="C42" i="4"/>
  <c r="U36" i="8"/>
  <c r="C36" i="4"/>
  <c r="U35" i="8"/>
  <c r="O35" i="4"/>
  <c r="U31" i="8"/>
  <c r="I31" i="4"/>
  <c r="U26" i="8"/>
  <c r="I26" i="4"/>
  <c r="U46" i="8"/>
  <c r="I46" i="4"/>
  <c r="U34" i="8"/>
  <c r="I34" i="4"/>
  <c r="U16" i="8"/>
  <c r="C16" i="4"/>
  <c r="U41" i="8"/>
  <c r="C50" i="8"/>
  <c r="H50" i="8" s="1"/>
  <c r="C50" i="4" s="1"/>
  <c r="E50" i="8"/>
  <c r="K50" i="8"/>
  <c r="M39" i="8"/>
  <c r="G50" i="8"/>
  <c r="G39" i="8"/>
  <c r="I39" i="8"/>
  <c r="N39" i="8" s="1"/>
  <c r="I39" i="4" s="1"/>
  <c r="O39" i="8"/>
  <c r="T39" i="8" s="1"/>
  <c r="O39" i="4" s="1"/>
  <c r="S50" i="8"/>
  <c r="N38" i="8"/>
  <c r="Q50" i="8"/>
  <c r="U28" i="8"/>
  <c r="E39" i="8"/>
  <c r="S39" i="8"/>
  <c r="C39" i="8"/>
  <c r="H39" i="8" s="1"/>
  <c r="C39" i="4" s="1"/>
  <c r="H44" i="8"/>
  <c r="O50" i="8"/>
  <c r="T50" i="8" s="1"/>
  <c r="O50" i="4" s="1"/>
  <c r="M50" i="8"/>
  <c r="U19" i="8"/>
  <c r="U11" i="8"/>
  <c r="J54" i="9"/>
  <c r="U33" i="8"/>
  <c r="G25" i="8"/>
  <c r="Q25" i="8"/>
  <c r="Q39" i="8"/>
  <c r="E25" i="8"/>
  <c r="I50" i="8"/>
  <c r="N50" i="8" s="1"/>
  <c r="I50" i="4" s="1"/>
  <c r="S25" i="8"/>
  <c r="K39" i="8"/>
  <c r="M25" i="8"/>
  <c r="K25" i="8"/>
  <c r="U45" i="8"/>
  <c r="U20" i="8"/>
  <c r="U7" i="8"/>
  <c r="U29" i="8"/>
  <c r="U12" i="8"/>
  <c r="H24" i="8"/>
  <c r="C25" i="8"/>
  <c r="H25" i="8" s="1"/>
  <c r="C25" i="4" s="1"/>
  <c r="U15" i="8"/>
  <c r="J53" i="8"/>
  <c r="I25" i="8"/>
  <c r="N25" i="8" s="1"/>
  <c r="I25" i="4" s="1"/>
  <c r="U49" i="8"/>
  <c r="O25" i="8"/>
  <c r="T25" i="8" s="1"/>
  <c r="O25" i="4" s="1"/>
  <c r="U24" i="8" l="1"/>
  <c r="C24" i="4"/>
  <c r="U44" i="8"/>
  <c r="C44" i="4"/>
  <c r="U38" i="8"/>
  <c r="I38" i="4"/>
  <c r="G51" i="8"/>
  <c r="U39" i="8"/>
  <c r="E51" i="8"/>
  <c r="M51" i="8"/>
  <c r="S51" i="8"/>
  <c r="K51" i="8"/>
  <c r="I51" i="8"/>
  <c r="N51" i="8" s="1"/>
  <c r="I51" i="4" s="1"/>
  <c r="Q51" i="8"/>
  <c r="U50" i="8"/>
  <c r="O51" i="8"/>
  <c r="T51" i="8" s="1"/>
  <c r="O51" i="4" s="1"/>
  <c r="U25" i="8"/>
  <c r="C51" i="8"/>
  <c r="H51" i="8" s="1"/>
  <c r="C51" i="4" s="1"/>
  <c r="D49" i="7"/>
  <c r="F49" i="7"/>
  <c r="J49" i="7"/>
  <c r="J50" i="7" s="1"/>
  <c r="L49" i="7"/>
  <c r="P49" i="7"/>
  <c r="R49" i="7"/>
  <c r="R50" i="7" s="1"/>
  <c r="P50" i="7"/>
  <c r="D44" i="7"/>
  <c r="F44" i="7"/>
  <c r="J44" i="7"/>
  <c r="L44" i="7"/>
  <c r="L50" i="7" s="1"/>
  <c r="L51" i="7" s="1"/>
  <c r="P44" i="7"/>
  <c r="R44" i="7"/>
  <c r="D38" i="7"/>
  <c r="F38" i="7"/>
  <c r="J38" i="7"/>
  <c r="L38" i="7"/>
  <c r="L39" i="7" s="1"/>
  <c r="P38" i="7"/>
  <c r="R38" i="7"/>
  <c r="D33" i="7"/>
  <c r="F33" i="7"/>
  <c r="J33" i="7"/>
  <c r="L33" i="7"/>
  <c r="P33" i="7"/>
  <c r="R33" i="7"/>
  <c r="D28" i="7"/>
  <c r="F28" i="7"/>
  <c r="J28" i="7"/>
  <c r="L28" i="7"/>
  <c r="P28" i="7"/>
  <c r="P39" i="7" s="1"/>
  <c r="R28" i="7"/>
  <c r="D24" i="7"/>
  <c r="F24" i="7"/>
  <c r="J24" i="7"/>
  <c r="L24" i="7"/>
  <c r="P24" i="7"/>
  <c r="P25" i="7" s="1"/>
  <c r="R24" i="7"/>
  <c r="D19" i="7"/>
  <c r="F19" i="7"/>
  <c r="J19" i="7"/>
  <c r="L19" i="7"/>
  <c r="L25" i="7" s="1"/>
  <c r="P19" i="7"/>
  <c r="R19" i="7"/>
  <c r="D15" i="7"/>
  <c r="F15" i="7"/>
  <c r="J15" i="7"/>
  <c r="L15" i="7"/>
  <c r="P15" i="7"/>
  <c r="R15" i="7"/>
  <c r="D11" i="7"/>
  <c r="F11" i="7"/>
  <c r="J11" i="7"/>
  <c r="L11" i="7"/>
  <c r="P11" i="7"/>
  <c r="R11" i="7"/>
  <c r="F25" i="7" l="1"/>
  <c r="D25" i="7"/>
  <c r="F50" i="7"/>
  <c r="F51" i="7" s="1"/>
  <c r="F39" i="7"/>
  <c r="R39" i="7"/>
  <c r="J54" i="8"/>
  <c r="J55" i="8"/>
  <c r="U51" i="8"/>
  <c r="D50" i="7"/>
  <c r="D39" i="7"/>
  <c r="P51" i="7"/>
  <c r="J39" i="7"/>
  <c r="R25" i="7"/>
  <c r="R51" i="7" s="1"/>
  <c r="J25" i="7"/>
  <c r="D51" i="7" l="1"/>
  <c r="J51" i="7"/>
  <c r="J18" i="6" l="1"/>
  <c r="J17" i="6"/>
  <c r="D37" i="6" l="1"/>
  <c r="J54" i="7" l="1"/>
  <c r="D23" i="6"/>
  <c r="P17" i="6"/>
  <c r="J8" i="6"/>
  <c r="J9" i="6"/>
  <c r="J10" i="6"/>
  <c r="J33" i="6" l="1"/>
  <c r="D49" i="6" l="1"/>
  <c r="F49" i="6"/>
  <c r="J49" i="6"/>
  <c r="J50" i="6" s="1"/>
  <c r="L49" i="6"/>
  <c r="P49" i="6"/>
  <c r="P50" i="6" s="1"/>
  <c r="R49" i="6"/>
  <c r="D44" i="6"/>
  <c r="D50" i="6" s="1"/>
  <c r="F44" i="6"/>
  <c r="J44" i="6"/>
  <c r="L44" i="6"/>
  <c r="L50" i="6" s="1"/>
  <c r="P44" i="6"/>
  <c r="R44" i="6"/>
  <c r="D38" i="6"/>
  <c r="F38" i="6"/>
  <c r="J38" i="6"/>
  <c r="L38" i="6"/>
  <c r="P38" i="6"/>
  <c r="R38" i="6"/>
  <c r="D33" i="6"/>
  <c r="F33" i="6"/>
  <c r="L33" i="6"/>
  <c r="L39" i="6" s="1"/>
  <c r="P33" i="6"/>
  <c r="R33" i="6"/>
  <c r="D28" i="6"/>
  <c r="F28" i="6"/>
  <c r="J28" i="6"/>
  <c r="L28" i="6"/>
  <c r="P28" i="6"/>
  <c r="R28" i="6"/>
  <c r="D24" i="6"/>
  <c r="F24" i="6"/>
  <c r="J24" i="6"/>
  <c r="L24" i="6"/>
  <c r="P24" i="6"/>
  <c r="R24" i="6"/>
  <c r="D19" i="6"/>
  <c r="F19" i="6"/>
  <c r="J19" i="6"/>
  <c r="L19" i="6"/>
  <c r="P19" i="6"/>
  <c r="R19" i="6"/>
  <c r="D15" i="6"/>
  <c r="F15" i="6"/>
  <c r="J15" i="6"/>
  <c r="L15" i="6"/>
  <c r="P15" i="6"/>
  <c r="R15" i="6"/>
  <c r="D11" i="6"/>
  <c r="F11" i="6"/>
  <c r="J11" i="6"/>
  <c r="L11" i="6"/>
  <c r="P11" i="6"/>
  <c r="R11" i="6"/>
  <c r="P25" i="6" l="1"/>
  <c r="R39" i="6"/>
  <c r="R50" i="6"/>
  <c r="R51" i="6" s="1"/>
  <c r="L25" i="6"/>
  <c r="P39" i="6"/>
  <c r="F50" i="6"/>
  <c r="F39" i="6"/>
  <c r="F25" i="6"/>
  <c r="D25" i="6"/>
  <c r="R25" i="6"/>
  <c r="L51" i="6"/>
  <c r="D39" i="6"/>
  <c r="J39" i="6"/>
  <c r="P51" i="6"/>
  <c r="J25" i="6"/>
  <c r="Q17" i="6"/>
  <c r="Q17" i="7" s="1"/>
  <c r="Q17" i="9" s="1"/>
  <c r="Q17" i="10" s="1"/>
  <c r="Q17" i="11" s="1"/>
  <c r="Q17" i="12" s="1"/>
  <c r="Q17" i="13" s="1"/>
  <c r="F51" i="6" l="1"/>
  <c r="Q17" i="16"/>
  <c r="Q17" i="18" s="1"/>
  <c r="D51" i="6"/>
  <c r="J51" i="6"/>
  <c r="J54" i="6" l="1"/>
  <c r="D29" i="4" l="1"/>
  <c r="J18" i="4" l="1"/>
  <c r="F49" i="4" l="1"/>
  <c r="J49" i="4"/>
  <c r="L49" i="4"/>
  <c r="P49" i="4"/>
  <c r="R49" i="4"/>
  <c r="P50" i="4"/>
  <c r="D44" i="4"/>
  <c r="F44" i="4"/>
  <c r="J44" i="4"/>
  <c r="L44" i="4"/>
  <c r="L50" i="4" s="1"/>
  <c r="P44" i="4"/>
  <c r="R44" i="4"/>
  <c r="D38" i="4"/>
  <c r="F38" i="4"/>
  <c r="J38" i="4"/>
  <c r="L38" i="4"/>
  <c r="L39" i="4" s="1"/>
  <c r="P38" i="4"/>
  <c r="P39" i="4" s="1"/>
  <c r="R38" i="4"/>
  <c r="D33" i="4"/>
  <c r="F33" i="4"/>
  <c r="J33" i="4"/>
  <c r="J39" i="4" s="1"/>
  <c r="L33" i="4"/>
  <c r="P33" i="4"/>
  <c r="R33" i="4"/>
  <c r="R39" i="4" s="1"/>
  <c r="D28" i="4"/>
  <c r="F28" i="4"/>
  <c r="J28" i="4"/>
  <c r="L28" i="4"/>
  <c r="P28" i="4"/>
  <c r="R28" i="4"/>
  <c r="D24" i="4"/>
  <c r="F24" i="4"/>
  <c r="J24" i="4"/>
  <c r="L24" i="4"/>
  <c r="P24" i="4"/>
  <c r="R24" i="4"/>
  <c r="D19" i="4"/>
  <c r="D25" i="4" s="1"/>
  <c r="F19" i="4"/>
  <c r="J19" i="4"/>
  <c r="L19" i="4"/>
  <c r="L25" i="4" s="1"/>
  <c r="P19" i="4"/>
  <c r="R19" i="4"/>
  <c r="D15" i="4"/>
  <c r="F15" i="4"/>
  <c r="J15" i="4"/>
  <c r="L15" i="4"/>
  <c r="P15" i="4"/>
  <c r="P25" i="4" s="1"/>
  <c r="R15" i="4"/>
  <c r="D11" i="4"/>
  <c r="F11" i="4"/>
  <c r="J11" i="4"/>
  <c r="L11" i="4"/>
  <c r="P11" i="4"/>
  <c r="R11" i="4"/>
  <c r="L51" i="4" l="1"/>
  <c r="P51" i="4"/>
  <c r="R50" i="4"/>
  <c r="J50" i="4"/>
  <c r="F50" i="4"/>
  <c r="R25" i="4"/>
  <c r="F25" i="4"/>
  <c r="F39" i="4"/>
  <c r="D39" i="4"/>
  <c r="F51" i="4"/>
  <c r="J25" i="4"/>
  <c r="J51" i="4" s="1"/>
  <c r="D46" i="4"/>
  <c r="D45" i="4"/>
  <c r="D49" i="4" s="1"/>
  <c r="D50" i="4" s="1"/>
  <c r="D51" i="4" s="1"/>
  <c r="K29" i="4"/>
  <c r="T8" i="4"/>
  <c r="O8" i="6" s="1"/>
  <c r="T8" i="6" s="1"/>
  <c r="O8" i="7" s="1"/>
  <c r="T8" i="7" s="1"/>
  <c r="O8" i="9" s="1"/>
  <c r="T8" i="9" s="1"/>
  <c r="T9" i="4"/>
  <c r="O9" i="6" s="1"/>
  <c r="T9" i="6" s="1"/>
  <c r="O9" i="7" s="1"/>
  <c r="T9" i="7" s="1"/>
  <c r="O9" i="9" s="1"/>
  <c r="T9" i="9" s="1"/>
  <c r="T10" i="4"/>
  <c r="O10" i="6" s="1"/>
  <c r="T10" i="6" s="1"/>
  <c r="O10" i="7" s="1"/>
  <c r="T10" i="7" s="1"/>
  <c r="O10" i="9" s="1"/>
  <c r="T10" i="9" s="1"/>
  <c r="T12" i="4"/>
  <c r="O12" i="6" s="1"/>
  <c r="T12" i="6" s="1"/>
  <c r="T13" i="4"/>
  <c r="O13" i="6" s="1"/>
  <c r="T13" i="6" s="1"/>
  <c r="O13" i="7" s="1"/>
  <c r="T13" i="7" s="1"/>
  <c r="O13" i="9" s="1"/>
  <c r="T13" i="9" s="1"/>
  <c r="T14" i="4"/>
  <c r="O14" i="6" s="1"/>
  <c r="T14" i="6" s="1"/>
  <c r="O14" i="7" s="1"/>
  <c r="T14" i="7" s="1"/>
  <c r="O14" i="9" s="1"/>
  <c r="T14" i="9" s="1"/>
  <c r="T16" i="4"/>
  <c r="T17" i="4"/>
  <c r="O17" i="6" s="1"/>
  <c r="T17" i="6" s="1"/>
  <c r="O17" i="7" s="1"/>
  <c r="T17" i="7" s="1"/>
  <c r="O17" i="9" s="1"/>
  <c r="T17" i="9" s="1"/>
  <c r="T18" i="4"/>
  <c r="O18" i="6" s="1"/>
  <c r="T18" i="6" s="1"/>
  <c r="O18" i="7" s="1"/>
  <c r="T18" i="7" s="1"/>
  <c r="O18" i="9" s="1"/>
  <c r="T18" i="9" s="1"/>
  <c r="T20" i="4"/>
  <c r="O20" i="6" s="1"/>
  <c r="T20" i="6" s="1"/>
  <c r="T21" i="4"/>
  <c r="O21" i="6" s="1"/>
  <c r="T21" i="6" s="1"/>
  <c r="O21" i="7" s="1"/>
  <c r="T21" i="7" s="1"/>
  <c r="O21" i="9" s="1"/>
  <c r="T21" i="9" s="1"/>
  <c r="O21" i="10" s="1"/>
  <c r="T21" i="10" s="1"/>
  <c r="T22" i="4"/>
  <c r="O22" i="6" s="1"/>
  <c r="T22" i="6" s="1"/>
  <c r="O22" i="7" s="1"/>
  <c r="T22" i="7" s="1"/>
  <c r="O22" i="9" s="1"/>
  <c r="T22" i="9" s="1"/>
  <c r="T23" i="4"/>
  <c r="O23" i="6" s="1"/>
  <c r="T23" i="6" s="1"/>
  <c r="O23" i="7" s="1"/>
  <c r="T23" i="7" s="1"/>
  <c r="O23" i="9" s="1"/>
  <c r="T23" i="9" s="1"/>
  <c r="T26" i="4"/>
  <c r="T27" i="4"/>
  <c r="O27" i="6" s="1"/>
  <c r="T27" i="6" s="1"/>
  <c r="O27" i="7" s="1"/>
  <c r="T27" i="7" s="1"/>
  <c r="O27" i="9" s="1"/>
  <c r="T27" i="9" s="1"/>
  <c r="T29" i="4"/>
  <c r="O29" i="6" s="1"/>
  <c r="T29" i="6" s="1"/>
  <c r="T30" i="4"/>
  <c r="O30" i="6" s="1"/>
  <c r="T30" i="6" s="1"/>
  <c r="O30" i="7" s="1"/>
  <c r="T30" i="7" s="1"/>
  <c r="O30" i="9" s="1"/>
  <c r="T30" i="9" s="1"/>
  <c r="T31" i="4"/>
  <c r="O31" i="6" s="1"/>
  <c r="T31" i="6" s="1"/>
  <c r="O31" i="7" s="1"/>
  <c r="T31" i="7" s="1"/>
  <c r="O31" i="9" s="1"/>
  <c r="T31" i="9" s="1"/>
  <c r="T32" i="4"/>
  <c r="O32" i="6" s="1"/>
  <c r="T32" i="6" s="1"/>
  <c r="O32" i="7" s="1"/>
  <c r="T32" i="7" s="1"/>
  <c r="O32" i="9" s="1"/>
  <c r="T32" i="9" s="1"/>
  <c r="T34" i="4"/>
  <c r="O34" i="6" s="1"/>
  <c r="T34" i="6" s="1"/>
  <c r="T35" i="4"/>
  <c r="O35" i="6" s="1"/>
  <c r="T35" i="6" s="1"/>
  <c r="O35" i="7" s="1"/>
  <c r="T35" i="7" s="1"/>
  <c r="O35" i="9" s="1"/>
  <c r="T35" i="9" s="1"/>
  <c r="T36" i="4"/>
  <c r="O36" i="6" s="1"/>
  <c r="T36" i="6" s="1"/>
  <c r="O36" i="7" s="1"/>
  <c r="T36" i="7" s="1"/>
  <c r="O36" i="9" s="1"/>
  <c r="T36" i="9" s="1"/>
  <c r="T37" i="4"/>
  <c r="O37" i="6" s="1"/>
  <c r="T37" i="6" s="1"/>
  <c r="O37" i="7" s="1"/>
  <c r="T37" i="7" s="1"/>
  <c r="O37" i="9" s="1"/>
  <c r="T37" i="9" s="1"/>
  <c r="T40" i="4"/>
  <c r="O40" i="6" s="1"/>
  <c r="T40" i="6" s="1"/>
  <c r="T41" i="4"/>
  <c r="O41" i="6" s="1"/>
  <c r="T41" i="6" s="1"/>
  <c r="O41" i="7" s="1"/>
  <c r="T41" i="7" s="1"/>
  <c r="O41" i="9" s="1"/>
  <c r="T41" i="9" s="1"/>
  <c r="T42" i="4"/>
  <c r="O42" i="6" s="1"/>
  <c r="T42" i="6" s="1"/>
  <c r="O42" i="7" s="1"/>
  <c r="T42" i="7" s="1"/>
  <c r="O42" i="9" s="1"/>
  <c r="T42" i="9" s="1"/>
  <c r="T43" i="4"/>
  <c r="O43" i="6" s="1"/>
  <c r="T43" i="6" s="1"/>
  <c r="O43" i="7" s="1"/>
  <c r="T43" i="7" s="1"/>
  <c r="O43" i="9" s="1"/>
  <c r="T43" i="9" s="1"/>
  <c r="T45" i="4"/>
  <c r="O45" i="6" s="1"/>
  <c r="T45" i="6" s="1"/>
  <c r="T46" i="4"/>
  <c r="O46" i="6" s="1"/>
  <c r="T46" i="6" s="1"/>
  <c r="O46" i="7" s="1"/>
  <c r="T46" i="7" s="1"/>
  <c r="O46" i="9" s="1"/>
  <c r="T46" i="9" s="1"/>
  <c r="T47" i="4"/>
  <c r="O47" i="6" s="1"/>
  <c r="T47" i="6" s="1"/>
  <c r="O47" i="7" s="1"/>
  <c r="T47" i="7" s="1"/>
  <c r="O47" i="9" s="1"/>
  <c r="T47" i="9" s="1"/>
  <c r="T48" i="4"/>
  <c r="O48" i="6" s="1"/>
  <c r="T48" i="6" s="1"/>
  <c r="O48" i="7" s="1"/>
  <c r="T48" i="7" s="1"/>
  <c r="O48" i="9" s="1"/>
  <c r="T48" i="9" s="1"/>
  <c r="T7" i="4"/>
  <c r="S8" i="4"/>
  <c r="S8" i="6" s="1"/>
  <c r="S8" i="7" s="1"/>
  <c r="S8" i="9" s="1"/>
  <c r="S8" i="10" s="1"/>
  <c r="S8" i="11" s="1"/>
  <c r="S8" i="12" s="1"/>
  <c r="S8" i="13" s="1"/>
  <c r="S9" i="4"/>
  <c r="S9" i="6" s="1"/>
  <c r="S9" i="7" s="1"/>
  <c r="S9" i="9" s="1"/>
  <c r="S9" i="10" s="1"/>
  <c r="S9" i="11" s="1"/>
  <c r="S9" i="12" s="1"/>
  <c r="S9" i="13" s="1"/>
  <c r="S10" i="4"/>
  <c r="S10" i="6" s="1"/>
  <c r="S10" i="7" s="1"/>
  <c r="S10" i="9" s="1"/>
  <c r="S10" i="10" s="1"/>
  <c r="S10" i="11" s="1"/>
  <c r="S10" i="12" s="1"/>
  <c r="S10" i="13" s="1"/>
  <c r="S12" i="4"/>
  <c r="S13" i="4"/>
  <c r="S13" i="6" s="1"/>
  <c r="S13" i="7" s="1"/>
  <c r="S13" i="9" s="1"/>
  <c r="S13" i="10" s="1"/>
  <c r="S13" i="11" s="1"/>
  <c r="S13" i="12" s="1"/>
  <c r="S13" i="13" s="1"/>
  <c r="S14" i="4"/>
  <c r="S14" i="6" s="1"/>
  <c r="S14" i="7" s="1"/>
  <c r="S14" i="9" s="1"/>
  <c r="S14" i="10" s="1"/>
  <c r="S14" i="11" s="1"/>
  <c r="S14" i="12" s="1"/>
  <c r="S14" i="13" s="1"/>
  <c r="S16" i="4"/>
  <c r="S17" i="4"/>
  <c r="S17" i="6" s="1"/>
  <c r="S17" i="7" s="1"/>
  <c r="S17" i="9" s="1"/>
  <c r="S17" i="10" s="1"/>
  <c r="S18" i="4"/>
  <c r="S18" i="6" s="1"/>
  <c r="S18" i="7" s="1"/>
  <c r="S18" i="9" s="1"/>
  <c r="S18" i="10" s="1"/>
  <c r="S18" i="11" s="1"/>
  <c r="S18" i="12" s="1"/>
  <c r="S18" i="13" s="1"/>
  <c r="S20" i="4"/>
  <c r="S21" i="4"/>
  <c r="S21" i="6" s="1"/>
  <c r="S21" i="7" s="1"/>
  <c r="S21" i="9" s="1"/>
  <c r="S22" i="4"/>
  <c r="S22" i="6" s="1"/>
  <c r="S22" i="7" s="1"/>
  <c r="S22" i="9" s="1"/>
  <c r="S22" i="10" s="1"/>
  <c r="S22" i="11" s="1"/>
  <c r="S22" i="12" s="1"/>
  <c r="S22" i="13" s="1"/>
  <c r="S23" i="4"/>
  <c r="S23" i="6" s="1"/>
  <c r="S23" i="7" s="1"/>
  <c r="S23" i="9" s="1"/>
  <c r="S23" i="10" s="1"/>
  <c r="S23" i="11" s="1"/>
  <c r="S23" i="12" s="1"/>
  <c r="S23" i="13" s="1"/>
  <c r="S26" i="4"/>
  <c r="S27" i="4"/>
  <c r="S27" i="6" s="1"/>
  <c r="S27" i="7" s="1"/>
  <c r="S27" i="9" s="1"/>
  <c r="S27" i="10" s="1"/>
  <c r="S27" i="11" s="1"/>
  <c r="S27" i="12" s="1"/>
  <c r="S27" i="13" s="1"/>
  <c r="S29" i="4"/>
  <c r="S30" i="4"/>
  <c r="S30" i="6" s="1"/>
  <c r="S30" i="7" s="1"/>
  <c r="S30" i="9" s="1"/>
  <c r="S30" i="10" s="1"/>
  <c r="S30" i="11" s="1"/>
  <c r="S30" i="12" s="1"/>
  <c r="S30" i="13" s="1"/>
  <c r="S31" i="4"/>
  <c r="S31" i="6" s="1"/>
  <c r="S31" i="7" s="1"/>
  <c r="S31" i="9" s="1"/>
  <c r="S31" i="10" s="1"/>
  <c r="S31" i="11" s="1"/>
  <c r="S31" i="12" s="1"/>
  <c r="S31" i="13" s="1"/>
  <c r="S32" i="4"/>
  <c r="S32" i="6" s="1"/>
  <c r="S32" i="7" s="1"/>
  <c r="S32" i="9" s="1"/>
  <c r="S32" i="10" s="1"/>
  <c r="S32" i="11" s="1"/>
  <c r="S32" i="12" s="1"/>
  <c r="S32" i="13" s="1"/>
  <c r="S34" i="4"/>
  <c r="S35" i="4"/>
  <c r="S35" i="6" s="1"/>
  <c r="S35" i="7" s="1"/>
  <c r="S35" i="9" s="1"/>
  <c r="S35" i="10" s="1"/>
  <c r="S35" i="11" s="1"/>
  <c r="S35" i="12" s="1"/>
  <c r="S35" i="13" s="1"/>
  <c r="S36" i="4"/>
  <c r="S36" i="6" s="1"/>
  <c r="S36" i="7" s="1"/>
  <c r="S36" i="9" s="1"/>
  <c r="S36" i="10" s="1"/>
  <c r="S36" i="11" s="1"/>
  <c r="S36" i="12" s="1"/>
  <c r="S36" i="13" s="1"/>
  <c r="S37" i="4"/>
  <c r="S37" i="6" s="1"/>
  <c r="S37" i="7" s="1"/>
  <c r="S37" i="9" s="1"/>
  <c r="S37" i="10" s="1"/>
  <c r="S37" i="11" s="1"/>
  <c r="S37" i="12" s="1"/>
  <c r="S37" i="13" s="1"/>
  <c r="S40" i="4"/>
  <c r="S41" i="4"/>
  <c r="S41" i="6" s="1"/>
  <c r="S41" i="7" s="1"/>
  <c r="S41" i="9" s="1"/>
  <c r="S41" i="10" s="1"/>
  <c r="S41" i="11" s="1"/>
  <c r="S41" i="12" s="1"/>
  <c r="S41" i="13" s="1"/>
  <c r="S42" i="4"/>
  <c r="S42" i="6" s="1"/>
  <c r="S42" i="7" s="1"/>
  <c r="S42" i="9" s="1"/>
  <c r="S42" i="10" s="1"/>
  <c r="S42" i="11" s="1"/>
  <c r="S42" i="12" s="1"/>
  <c r="S42" i="13" s="1"/>
  <c r="S43" i="4"/>
  <c r="S43" i="6" s="1"/>
  <c r="S43" i="7" s="1"/>
  <c r="S43" i="9" s="1"/>
  <c r="S43" i="10" s="1"/>
  <c r="S43" i="11" s="1"/>
  <c r="S43" i="12" s="1"/>
  <c r="S43" i="13" s="1"/>
  <c r="S45" i="4"/>
  <c r="S46" i="4"/>
  <c r="S46" i="6" s="1"/>
  <c r="S46" i="7" s="1"/>
  <c r="S46" i="9" s="1"/>
  <c r="S46" i="10" s="1"/>
  <c r="S46" i="11" s="1"/>
  <c r="S46" i="12" s="1"/>
  <c r="S46" i="13" s="1"/>
  <c r="S47" i="4"/>
  <c r="S47" i="6" s="1"/>
  <c r="S47" i="7" s="1"/>
  <c r="S47" i="9" s="1"/>
  <c r="S47" i="10" s="1"/>
  <c r="S47" i="11" s="1"/>
  <c r="S47" i="12" s="1"/>
  <c r="S47" i="13" s="1"/>
  <c r="S48" i="4"/>
  <c r="S48" i="6" s="1"/>
  <c r="S48" i="7" s="1"/>
  <c r="S48" i="9" s="1"/>
  <c r="S48" i="10" s="1"/>
  <c r="S48" i="11" s="1"/>
  <c r="S48" i="12" s="1"/>
  <c r="S48" i="13" s="1"/>
  <c r="S7" i="4"/>
  <c r="Q8" i="4"/>
  <c r="Q8" i="6" s="1"/>
  <c r="Q8" i="7" s="1"/>
  <c r="Q8" i="9" s="1"/>
  <c r="Q8" i="10" s="1"/>
  <c r="Q8" i="11" s="1"/>
  <c r="Q8" i="12" s="1"/>
  <c r="Q8" i="13" s="1"/>
  <c r="Q9" i="4"/>
  <c r="Q9" i="6" s="1"/>
  <c r="Q9" i="7" s="1"/>
  <c r="Q9" i="9" s="1"/>
  <c r="Q9" i="10" s="1"/>
  <c r="Q9" i="11" s="1"/>
  <c r="Q9" i="12" s="1"/>
  <c r="Q9" i="13" s="1"/>
  <c r="Q10" i="4"/>
  <c r="Q10" i="6" s="1"/>
  <c r="Q10" i="7" s="1"/>
  <c r="Q10" i="9" s="1"/>
  <c r="Q10" i="10" s="1"/>
  <c r="Q10" i="11" s="1"/>
  <c r="Q10" i="12" s="1"/>
  <c r="Q10" i="13" s="1"/>
  <c r="Q12" i="4"/>
  <c r="Q13" i="4"/>
  <c r="Q13" i="6" s="1"/>
  <c r="Q13" i="7" s="1"/>
  <c r="Q13" i="9" s="1"/>
  <c r="Q13" i="10" s="1"/>
  <c r="Q13" i="11" s="1"/>
  <c r="Q13" i="12" s="1"/>
  <c r="Q13" i="13" s="1"/>
  <c r="Q14" i="4"/>
  <c r="Q14" i="6" s="1"/>
  <c r="Q14" i="7" s="1"/>
  <c r="Q14" i="9" s="1"/>
  <c r="Q14" i="10" s="1"/>
  <c r="Q14" i="11" s="1"/>
  <c r="Q14" i="12" s="1"/>
  <c r="Q14" i="13" s="1"/>
  <c r="Q16" i="4"/>
  <c r="Q18" i="4"/>
  <c r="Q18" i="6" s="1"/>
  <c r="Q18" i="7" s="1"/>
  <c r="Q18" i="9" s="1"/>
  <c r="Q18" i="10" s="1"/>
  <c r="Q18" i="11" s="1"/>
  <c r="Q18" i="12" s="1"/>
  <c r="Q18" i="13" s="1"/>
  <c r="Q20" i="4"/>
  <c r="Q21" i="4"/>
  <c r="Q21" i="6" s="1"/>
  <c r="Q21" i="7" s="1"/>
  <c r="Q21" i="9" s="1"/>
  <c r="Q21" i="10" s="1"/>
  <c r="Q21" i="11" s="1"/>
  <c r="Q21" i="12" s="1"/>
  <c r="Q21" i="13" s="1"/>
  <c r="Q22" i="4"/>
  <c r="Q22" i="6" s="1"/>
  <c r="Q22" i="7" s="1"/>
  <c r="Q22" i="9" s="1"/>
  <c r="Q22" i="10" s="1"/>
  <c r="Q22" i="11" s="1"/>
  <c r="Q22" i="12" s="1"/>
  <c r="Q22" i="13" s="1"/>
  <c r="Q23" i="4"/>
  <c r="Q23" i="6" s="1"/>
  <c r="Q23" i="7" s="1"/>
  <c r="Q23" i="9" s="1"/>
  <c r="Q23" i="10" s="1"/>
  <c r="Q23" i="11" s="1"/>
  <c r="Q23" i="12" s="1"/>
  <c r="Q23" i="13" s="1"/>
  <c r="Q26" i="4"/>
  <c r="Q27" i="4"/>
  <c r="Q27" i="6" s="1"/>
  <c r="Q27" i="7" s="1"/>
  <c r="Q29" i="4"/>
  <c r="Q30" i="4"/>
  <c r="Q30" i="6" s="1"/>
  <c r="Q30" i="7" s="1"/>
  <c r="Q30" i="9" s="1"/>
  <c r="Q30" i="10" s="1"/>
  <c r="Q30" i="11" s="1"/>
  <c r="Q30" i="12" s="1"/>
  <c r="Q30" i="13" s="1"/>
  <c r="Q31" i="4"/>
  <c r="Q31" i="6" s="1"/>
  <c r="Q31" i="7" s="1"/>
  <c r="Q31" i="9" s="1"/>
  <c r="Q31" i="10" s="1"/>
  <c r="Q31" i="11" s="1"/>
  <c r="Q31" i="12" s="1"/>
  <c r="Q31" i="13" s="1"/>
  <c r="Q32" i="4"/>
  <c r="Q32" i="6" s="1"/>
  <c r="Q32" i="7" s="1"/>
  <c r="Q32" i="9" s="1"/>
  <c r="Q32" i="10" s="1"/>
  <c r="Q32" i="11" s="1"/>
  <c r="Q32" i="12" s="1"/>
  <c r="Q32" i="13" s="1"/>
  <c r="Q34" i="4"/>
  <c r="Q35" i="4"/>
  <c r="Q35" i="6" s="1"/>
  <c r="Q35" i="7" s="1"/>
  <c r="Q35" i="9" s="1"/>
  <c r="Q35" i="10" s="1"/>
  <c r="Q35" i="11" s="1"/>
  <c r="Q35" i="12" s="1"/>
  <c r="Q35" i="13" s="1"/>
  <c r="Q36" i="4"/>
  <c r="Q36" i="6" s="1"/>
  <c r="Q36" i="7" s="1"/>
  <c r="Q36" i="9" s="1"/>
  <c r="Q36" i="10" s="1"/>
  <c r="Q36" i="11" s="1"/>
  <c r="Q36" i="12" s="1"/>
  <c r="Q36" i="13" s="1"/>
  <c r="Q37" i="4"/>
  <c r="Q37" i="6" s="1"/>
  <c r="Q37" i="7" s="1"/>
  <c r="Q37" i="9" s="1"/>
  <c r="Q37" i="10" s="1"/>
  <c r="Q37" i="11" s="1"/>
  <c r="Q37" i="12" s="1"/>
  <c r="Q37" i="13" s="1"/>
  <c r="Q40" i="4"/>
  <c r="Q41" i="4"/>
  <c r="Q41" i="6" s="1"/>
  <c r="Q41" i="7" s="1"/>
  <c r="Q41" i="9" s="1"/>
  <c r="Q41" i="10" s="1"/>
  <c r="Q41" i="11" s="1"/>
  <c r="Q41" i="12" s="1"/>
  <c r="Q41" i="13" s="1"/>
  <c r="Q42" i="4"/>
  <c r="Q42" i="6" s="1"/>
  <c r="Q42" i="7" s="1"/>
  <c r="Q42" i="9" s="1"/>
  <c r="Q42" i="10" s="1"/>
  <c r="Q42" i="11" s="1"/>
  <c r="Q42" i="12" s="1"/>
  <c r="Q42" i="13" s="1"/>
  <c r="Q43" i="4"/>
  <c r="Q43" i="6" s="1"/>
  <c r="Q43" i="7" s="1"/>
  <c r="Q43" i="9" s="1"/>
  <c r="Q43" i="10" s="1"/>
  <c r="Q43" i="11" s="1"/>
  <c r="Q43" i="12" s="1"/>
  <c r="Q43" i="13" s="1"/>
  <c r="Q45" i="4"/>
  <c r="Q46" i="4"/>
  <c r="Q46" i="6" s="1"/>
  <c r="Q46" i="7" s="1"/>
  <c r="Q46" i="9" s="1"/>
  <c r="Q46" i="10" s="1"/>
  <c r="Q46" i="11" s="1"/>
  <c r="Q46" i="12" s="1"/>
  <c r="Q46" i="13" s="1"/>
  <c r="Q47" i="4"/>
  <c r="Q47" i="6" s="1"/>
  <c r="Q47" i="7" s="1"/>
  <c r="Q47" i="9" s="1"/>
  <c r="Q47" i="10" s="1"/>
  <c r="Q47" i="11" s="1"/>
  <c r="Q47" i="12" s="1"/>
  <c r="Q47" i="13" s="1"/>
  <c r="Q48" i="4"/>
  <c r="Q48" i="6" s="1"/>
  <c r="Q48" i="7" s="1"/>
  <c r="Q48" i="9" s="1"/>
  <c r="Q48" i="10" s="1"/>
  <c r="Q48" i="11" s="1"/>
  <c r="Q48" i="12" s="1"/>
  <c r="Q48" i="13" s="1"/>
  <c r="Q7" i="4"/>
  <c r="N8" i="4"/>
  <c r="I8" i="6" s="1"/>
  <c r="N8" i="6" s="1"/>
  <c r="I8" i="7" s="1"/>
  <c r="N8" i="7" s="1"/>
  <c r="I8" i="9" s="1"/>
  <c r="N8" i="9" s="1"/>
  <c r="N9" i="4"/>
  <c r="I9" i="6" s="1"/>
  <c r="N9" i="6" s="1"/>
  <c r="I9" i="7" s="1"/>
  <c r="N9" i="7" s="1"/>
  <c r="I9" i="9" s="1"/>
  <c r="N9" i="9" s="1"/>
  <c r="N10" i="4"/>
  <c r="I10" i="6" s="1"/>
  <c r="N10" i="6" s="1"/>
  <c r="I10" i="7" s="1"/>
  <c r="N10" i="7" s="1"/>
  <c r="N12" i="4"/>
  <c r="I12" i="6" s="1"/>
  <c r="N12" i="6" s="1"/>
  <c r="N13" i="4"/>
  <c r="I13" i="6" s="1"/>
  <c r="N13" i="6" s="1"/>
  <c r="I13" i="7" s="1"/>
  <c r="N13" i="7" s="1"/>
  <c r="I13" i="9" s="1"/>
  <c r="N13" i="9" s="1"/>
  <c r="N14" i="4"/>
  <c r="I14" i="6" s="1"/>
  <c r="N14" i="6" s="1"/>
  <c r="I14" i="7" s="1"/>
  <c r="N14" i="7" s="1"/>
  <c r="I14" i="9" s="1"/>
  <c r="N14" i="9" s="1"/>
  <c r="N16" i="4"/>
  <c r="I16" i="6" s="1"/>
  <c r="N16" i="6" s="1"/>
  <c r="I16" i="7" s="1"/>
  <c r="N16" i="7" s="1"/>
  <c r="N17" i="4"/>
  <c r="I17" i="6" s="1"/>
  <c r="N17" i="6" s="1"/>
  <c r="I17" i="7" s="1"/>
  <c r="N17" i="7" s="1"/>
  <c r="I17" i="9" s="1"/>
  <c r="N17" i="9" s="1"/>
  <c r="N18" i="4"/>
  <c r="I18" i="6" s="1"/>
  <c r="N18" i="6" s="1"/>
  <c r="N20" i="4"/>
  <c r="N21" i="4"/>
  <c r="I21" i="6" s="1"/>
  <c r="N21" i="6" s="1"/>
  <c r="I21" i="7" s="1"/>
  <c r="N21" i="7" s="1"/>
  <c r="I21" i="9" s="1"/>
  <c r="N21" i="9" s="1"/>
  <c r="N22" i="4"/>
  <c r="I22" i="6" s="1"/>
  <c r="N22" i="6" s="1"/>
  <c r="I22" i="7" s="1"/>
  <c r="N22" i="7" s="1"/>
  <c r="I22" i="9" s="1"/>
  <c r="N22" i="9" s="1"/>
  <c r="N23" i="4"/>
  <c r="I23" i="6" s="1"/>
  <c r="N23" i="6" s="1"/>
  <c r="I23" i="7" s="1"/>
  <c r="N23" i="7" s="1"/>
  <c r="I23" i="9" s="1"/>
  <c r="N23" i="9" s="1"/>
  <c r="N26" i="4"/>
  <c r="N27" i="4"/>
  <c r="I27" i="6" s="1"/>
  <c r="N27" i="6" s="1"/>
  <c r="I27" i="7" s="1"/>
  <c r="N27" i="7" s="1"/>
  <c r="I27" i="9" s="1"/>
  <c r="N27" i="9" s="1"/>
  <c r="N29" i="4"/>
  <c r="I29" i="6" s="1"/>
  <c r="N29" i="6" s="1"/>
  <c r="N30" i="4"/>
  <c r="I30" i="6" s="1"/>
  <c r="N30" i="6" s="1"/>
  <c r="I30" i="7" s="1"/>
  <c r="N30" i="7" s="1"/>
  <c r="I30" i="9" s="1"/>
  <c r="N30" i="9" s="1"/>
  <c r="N31" i="4"/>
  <c r="I31" i="6" s="1"/>
  <c r="N31" i="6" s="1"/>
  <c r="I31" i="7" s="1"/>
  <c r="N31" i="7" s="1"/>
  <c r="I31" i="9" s="1"/>
  <c r="N31" i="9" s="1"/>
  <c r="N32" i="4"/>
  <c r="I32" i="6" s="1"/>
  <c r="N32" i="6" s="1"/>
  <c r="I32" i="7" s="1"/>
  <c r="N32" i="7" s="1"/>
  <c r="I32" i="9" s="1"/>
  <c r="N32" i="9" s="1"/>
  <c r="N34" i="4"/>
  <c r="I34" i="6" s="1"/>
  <c r="N34" i="6" s="1"/>
  <c r="N35" i="4"/>
  <c r="I35" i="6" s="1"/>
  <c r="N35" i="6" s="1"/>
  <c r="I35" i="7" s="1"/>
  <c r="N35" i="7" s="1"/>
  <c r="I35" i="9" s="1"/>
  <c r="N35" i="9" s="1"/>
  <c r="N36" i="4"/>
  <c r="I36" i="6" s="1"/>
  <c r="N36" i="6" s="1"/>
  <c r="I36" i="7" s="1"/>
  <c r="N36" i="7" s="1"/>
  <c r="I36" i="9" s="1"/>
  <c r="N36" i="9" s="1"/>
  <c r="N37" i="4"/>
  <c r="I37" i="6" s="1"/>
  <c r="N37" i="6" s="1"/>
  <c r="I37" i="7" s="1"/>
  <c r="N37" i="7" s="1"/>
  <c r="I37" i="9" s="1"/>
  <c r="N37" i="9" s="1"/>
  <c r="N40" i="4"/>
  <c r="I40" i="6" s="1"/>
  <c r="N40" i="6" s="1"/>
  <c r="N41" i="4"/>
  <c r="I41" i="6" s="1"/>
  <c r="N41" i="6" s="1"/>
  <c r="I41" i="7" s="1"/>
  <c r="N41" i="7" s="1"/>
  <c r="I41" i="9" s="1"/>
  <c r="N41" i="9" s="1"/>
  <c r="N42" i="4"/>
  <c r="I42" i="6" s="1"/>
  <c r="N42" i="6" s="1"/>
  <c r="I42" i="7" s="1"/>
  <c r="N42" i="7" s="1"/>
  <c r="I42" i="9" s="1"/>
  <c r="N42" i="9" s="1"/>
  <c r="N43" i="4"/>
  <c r="I43" i="6" s="1"/>
  <c r="N43" i="6" s="1"/>
  <c r="I43" i="7" s="1"/>
  <c r="N43" i="7" s="1"/>
  <c r="I43" i="9" s="1"/>
  <c r="N43" i="9" s="1"/>
  <c r="N45" i="4"/>
  <c r="I45" i="6" s="1"/>
  <c r="N45" i="6" s="1"/>
  <c r="N46" i="4"/>
  <c r="I46" i="6" s="1"/>
  <c r="N46" i="6" s="1"/>
  <c r="I46" i="7" s="1"/>
  <c r="N46" i="7" s="1"/>
  <c r="I46" i="9" s="1"/>
  <c r="N46" i="9" s="1"/>
  <c r="N47" i="4"/>
  <c r="I47" i="6" s="1"/>
  <c r="N47" i="6" s="1"/>
  <c r="I47" i="7" s="1"/>
  <c r="N47" i="7" s="1"/>
  <c r="I47" i="9" s="1"/>
  <c r="N47" i="9" s="1"/>
  <c r="N48" i="4"/>
  <c r="I48" i="6" s="1"/>
  <c r="N48" i="6" s="1"/>
  <c r="I48" i="7" s="1"/>
  <c r="N48" i="7" s="1"/>
  <c r="I48" i="9" s="1"/>
  <c r="N48" i="9" s="1"/>
  <c r="N7" i="4"/>
  <c r="I7" i="6" s="1"/>
  <c r="N7" i="6" s="1"/>
  <c r="M8" i="4"/>
  <c r="M8" i="6" s="1"/>
  <c r="M8" i="7" s="1"/>
  <c r="M8" i="9" s="1"/>
  <c r="M8" i="10" s="1"/>
  <c r="M8" i="11" s="1"/>
  <c r="M8" i="12" s="1"/>
  <c r="M8" i="13" s="1"/>
  <c r="M9" i="4"/>
  <c r="M9" i="6" s="1"/>
  <c r="M9" i="7" s="1"/>
  <c r="M9" i="9" s="1"/>
  <c r="M9" i="10" s="1"/>
  <c r="M9" i="11" s="1"/>
  <c r="M9" i="12" s="1"/>
  <c r="M9" i="13" s="1"/>
  <c r="M10" i="4"/>
  <c r="M10" i="6" s="1"/>
  <c r="M10" i="7" s="1"/>
  <c r="M10" i="9" s="1"/>
  <c r="M10" i="10" s="1"/>
  <c r="M10" i="11" s="1"/>
  <c r="M10" i="12" s="1"/>
  <c r="M10" i="13" s="1"/>
  <c r="M12" i="4"/>
  <c r="M13" i="4"/>
  <c r="M13" i="6" s="1"/>
  <c r="M13" i="7" s="1"/>
  <c r="M13" i="9" s="1"/>
  <c r="M13" i="10" s="1"/>
  <c r="M13" i="11" s="1"/>
  <c r="M13" i="12" s="1"/>
  <c r="M13" i="13" s="1"/>
  <c r="M14" i="4"/>
  <c r="M14" i="6" s="1"/>
  <c r="M14" i="7" s="1"/>
  <c r="M14" i="9" s="1"/>
  <c r="M14" i="10" s="1"/>
  <c r="M14" i="11" s="1"/>
  <c r="M14" i="12" s="1"/>
  <c r="M14" i="13" s="1"/>
  <c r="M16" i="4"/>
  <c r="M17" i="4"/>
  <c r="M17" i="6" s="1"/>
  <c r="M18" i="4"/>
  <c r="M18" i="6" s="1"/>
  <c r="M18" i="7" s="1"/>
  <c r="M18" i="9" s="1"/>
  <c r="M18" i="10" s="1"/>
  <c r="M18" i="11" s="1"/>
  <c r="M18" i="12" s="1"/>
  <c r="M18" i="13" s="1"/>
  <c r="M20" i="4"/>
  <c r="M21" i="4"/>
  <c r="M21" i="6" s="1"/>
  <c r="M21" i="7" s="1"/>
  <c r="M21" i="9" s="1"/>
  <c r="M21" i="10" s="1"/>
  <c r="M21" i="11" s="1"/>
  <c r="M21" i="12" s="1"/>
  <c r="M21" i="13" s="1"/>
  <c r="M22" i="4"/>
  <c r="M22" i="6" s="1"/>
  <c r="M22" i="7" s="1"/>
  <c r="M22" i="9" s="1"/>
  <c r="M22" i="10" s="1"/>
  <c r="M22" i="11" s="1"/>
  <c r="M22" i="12" s="1"/>
  <c r="M22" i="13" s="1"/>
  <c r="M23" i="4"/>
  <c r="M23" i="6" s="1"/>
  <c r="M23" i="7" s="1"/>
  <c r="M23" i="9" s="1"/>
  <c r="M23" i="10" s="1"/>
  <c r="M23" i="11" s="1"/>
  <c r="M23" i="12" s="1"/>
  <c r="M23" i="13" s="1"/>
  <c r="M26" i="4"/>
  <c r="M27" i="4"/>
  <c r="M27" i="6" s="1"/>
  <c r="M27" i="7" s="1"/>
  <c r="M27" i="9" s="1"/>
  <c r="M27" i="10" s="1"/>
  <c r="M27" i="11" s="1"/>
  <c r="M27" i="12" s="1"/>
  <c r="M27" i="13" s="1"/>
  <c r="M29" i="4"/>
  <c r="M30" i="4"/>
  <c r="M30" i="6" s="1"/>
  <c r="M30" i="7" s="1"/>
  <c r="M30" i="9" s="1"/>
  <c r="M30" i="10" s="1"/>
  <c r="M30" i="11" s="1"/>
  <c r="M30" i="12" s="1"/>
  <c r="M30" i="13" s="1"/>
  <c r="M31" i="4"/>
  <c r="M31" i="6" s="1"/>
  <c r="M31" i="7" s="1"/>
  <c r="M31" i="9" s="1"/>
  <c r="M31" i="10" s="1"/>
  <c r="M31" i="11" s="1"/>
  <c r="M31" i="12" s="1"/>
  <c r="M31" i="13" s="1"/>
  <c r="M32" i="4"/>
  <c r="M32" i="6" s="1"/>
  <c r="M32" i="7" s="1"/>
  <c r="M32" i="9" s="1"/>
  <c r="M32" i="10" s="1"/>
  <c r="M32" i="11" s="1"/>
  <c r="M32" i="12" s="1"/>
  <c r="M32" i="13" s="1"/>
  <c r="M34" i="4"/>
  <c r="M35" i="4"/>
  <c r="M35" i="6" s="1"/>
  <c r="M35" i="7" s="1"/>
  <c r="M35" i="9" s="1"/>
  <c r="M35" i="10" s="1"/>
  <c r="M35" i="11" s="1"/>
  <c r="M35" i="12" s="1"/>
  <c r="M35" i="13" s="1"/>
  <c r="M36" i="4"/>
  <c r="M36" i="6" s="1"/>
  <c r="M36" i="7" s="1"/>
  <c r="M36" i="9" s="1"/>
  <c r="M36" i="10" s="1"/>
  <c r="M36" i="11" s="1"/>
  <c r="M36" i="12" s="1"/>
  <c r="M36" i="13" s="1"/>
  <c r="M37" i="4"/>
  <c r="M37" i="6" s="1"/>
  <c r="M37" i="7" s="1"/>
  <c r="M37" i="9" s="1"/>
  <c r="M37" i="10" s="1"/>
  <c r="M37" i="11" s="1"/>
  <c r="M37" i="12" s="1"/>
  <c r="M37" i="13" s="1"/>
  <c r="M40" i="4"/>
  <c r="M41" i="4"/>
  <c r="M41" i="6" s="1"/>
  <c r="M41" i="7" s="1"/>
  <c r="M41" i="9" s="1"/>
  <c r="M41" i="10" s="1"/>
  <c r="M41" i="11" s="1"/>
  <c r="M41" i="12" s="1"/>
  <c r="M41" i="13" s="1"/>
  <c r="M42" i="4"/>
  <c r="M42" i="6" s="1"/>
  <c r="M42" i="7" s="1"/>
  <c r="M42" i="9" s="1"/>
  <c r="M42" i="10" s="1"/>
  <c r="M42" i="11" s="1"/>
  <c r="M42" i="12" s="1"/>
  <c r="M42" i="13" s="1"/>
  <c r="M43" i="4"/>
  <c r="M43" i="6" s="1"/>
  <c r="M43" i="7" s="1"/>
  <c r="M43" i="9" s="1"/>
  <c r="M43" i="10" s="1"/>
  <c r="M43" i="11" s="1"/>
  <c r="M43" i="12" s="1"/>
  <c r="M43" i="13" s="1"/>
  <c r="M45" i="4"/>
  <c r="M46" i="4"/>
  <c r="M46" i="6" s="1"/>
  <c r="M46" i="7" s="1"/>
  <c r="M46" i="9" s="1"/>
  <c r="M46" i="10" s="1"/>
  <c r="M46" i="11" s="1"/>
  <c r="M46" i="12" s="1"/>
  <c r="M46" i="13" s="1"/>
  <c r="M47" i="4"/>
  <c r="M47" i="6" s="1"/>
  <c r="M47" i="7" s="1"/>
  <c r="M47" i="9" s="1"/>
  <c r="M47" i="10" s="1"/>
  <c r="M47" i="11" s="1"/>
  <c r="M47" i="12" s="1"/>
  <c r="M47" i="13" s="1"/>
  <c r="M48" i="4"/>
  <c r="M48" i="6" s="1"/>
  <c r="M48" i="7" s="1"/>
  <c r="M48" i="9" s="1"/>
  <c r="M48" i="10" s="1"/>
  <c r="M48" i="11" s="1"/>
  <c r="M48" i="12" s="1"/>
  <c r="M48" i="13" s="1"/>
  <c r="M7" i="4"/>
  <c r="K8" i="4"/>
  <c r="K8" i="6" s="1"/>
  <c r="K8" i="7" s="1"/>
  <c r="K8" i="9" s="1"/>
  <c r="K8" i="10" s="1"/>
  <c r="K8" i="11" s="1"/>
  <c r="K8" i="12" s="1"/>
  <c r="K8" i="13" s="1"/>
  <c r="K9" i="4"/>
  <c r="K9" i="6" s="1"/>
  <c r="K9" i="7" s="1"/>
  <c r="K9" i="9" s="1"/>
  <c r="K9" i="10" s="1"/>
  <c r="K9" i="11" s="1"/>
  <c r="K9" i="12" s="1"/>
  <c r="K9" i="13" s="1"/>
  <c r="K10" i="4"/>
  <c r="K10" i="6" s="1"/>
  <c r="K10" i="7" s="1"/>
  <c r="K10" i="9" s="1"/>
  <c r="K10" i="10" s="1"/>
  <c r="K10" i="11" s="1"/>
  <c r="K10" i="12" s="1"/>
  <c r="K10" i="13" s="1"/>
  <c r="K12" i="4"/>
  <c r="K13" i="4"/>
  <c r="K13" i="6" s="1"/>
  <c r="K13" i="7" s="1"/>
  <c r="K13" i="9" s="1"/>
  <c r="K13" i="10" s="1"/>
  <c r="K13" i="11" s="1"/>
  <c r="K13" i="12" s="1"/>
  <c r="K13" i="13" s="1"/>
  <c r="K14" i="4"/>
  <c r="K14" i="6" s="1"/>
  <c r="K14" i="7" s="1"/>
  <c r="K14" i="9" s="1"/>
  <c r="K14" i="10" s="1"/>
  <c r="K14" i="11" s="1"/>
  <c r="K14" i="12" s="1"/>
  <c r="K14" i="13" s="1"/>
  <c r="K16" i="4"/>
  <c r="K16" i="6" s="1"/>
  <c r="K17" i="4"/>
  <c r="K17" i="6" s="1"/>
  <c r="K17" i="7" s="1"/>
  <c r="K17" i="9" s="1"/>
  <c r="K17" i="10" s="1"/>
  <c r="K17" i="11" s="1"/>
  <c r="K17" i="12" s="1"/>
  <c r="K17" i="13" s="1"/>
  <c r="K18" i="4"/>
  <c r="K20" i="4"/>
  <c r="K21" i="4"/>
  <c r="K21" i="6" s="1"/>
  <c r="K21" i="7" s="1"/>
  <c r="K21" i="9" s="1"/>
  <c r="K21" i="10" s="1"/>
  <c r="K21" i="11" s="1"/>
  <c r="K21" i="12" s="1"/>
  <c r="K21" i="13" s="1"/>
  <c r="K22" i="4"/>
  <c r="K22" i="6" s="1"/>
  <c r="K22" i="7" s="1"/>
  <c r="K22" i="9" s="1"/>
  <c r="K22" i="10" s="1"/>
  <c r="K22" i="11" s="1"/>
  <c r="K22" i="12" s="1"/>
  <c r="K22" i="13" s="1"/>
  <c r="K23" i="4"/>
  <c r="K23" i="6" s="1"/>
  <c r="K23" i="7" s="1"/>
  <c r="K23" i="9" s="1"/>
  <c r="K23" i="10" s="1"/>
  <c r="K23" i="11" s="1"/>
  <c r="K23" i="12" s="1"/>
  <c r="K23" i="13" s="1"/>
  <c r="K26" i="4"/>
  <c r="K27" i="4"/>
  <c r="K27" i="6" s="1"/>
  <c r="K27" i="7" s="1"/>
  <c r="K27" i="9" s="1"/>
  <c r="K27" i="10" s="1"/>
  <c r="K30" i="4"/>
  <c r="K30" i="6" s="1"/>
  <c r="K30" i="7" s="1"/>
  <c r="K30" i="9" s="1"/>
  <c r="K30" i="10" s="1"/>
  <c r="K30" i="11" s="1"/>
  <c r="K30" i="12" s="1"/>
  <c r="K30" i="13" s="1"/>
  <c r="K31" i="4"/>
  <c r="K31" i="6" s="1"/>
  <c r="K31" i="7" s="1"/>
  <c r="K31" i="9" s="1"/>
  <c r="K31" i="10" s="1"/>
  <c r="K31" i="11" s="1"/>
  <c r="K31" i="12" s="1"/>
  <c r="K31" i="13" s="1"/>
  <c r="K32" i="4"/>
  <c r="K32" i="6" s="1"/>
  <c r="K32" i="7" s="1"/>
  <c r="K32" i="9" s="1"/>
  <c r="K32" i="10" s="1"/>
  <c r="K32" i="11" s="1"/>
  <c r="K34" i="4"/>
  <c r="K35" i="4"/>
  <c r="K35" i="6" s="1"/>
  <c r="K35" i="7" s="1"/>
  <c r="K35" i="9" s="1"/>
  <c r="K35" i="10" s="1"/>
  <c r="K35" i="11" s="1"/>
  <c r="K35" i="12" s="1"/>
  <c r="K35" i="13" s="1"/>
  <c r="K36" i="4"/>
  <c r="K36" i="6" s="1"/>
  <c r="K36" i="7" s="1"/>
  <c r="K36" i="9" s="1"/>
  <c r="K36" i="10" s="1"/>
  <c r="K36" i="11" s="1"/>
  <c r="K37" i="4"/>
  <c r="K37" i="6" s="1"/>
  <c r="K37" i="7" s="1"/>
  <c r="K37" i="9" s="1"/>
  <c r="K37" i="10" s="1"/>
  <c r="K37" i="11" s="1"/>
  <c r="K37" i="12" s="1"/>
  <c r="K37" i="13" s="1"/>
  <c r="K40" i="4"/>
  <c r="K41" i="4"/>
  <c r="K41" i="6" s="1"/>
  <c r="K41" i="7" s="1"/>
  <c r="K41" i="9" s="1"/>
  <c r="K41" i="10" s="1"/>
  <c r="K41" i="11" s="1"/>
  <c r="K41" i="12" s="1"/>
  <c r="K41" i="13" s="1"/>
  <c r="K42" i="4"/>
  <c r="K42" i="6" s="1"/>
  <c r="K42" i="7" s="1"/>
  <c r="K42" i="9" s="1"/>
  <c r="K42" i="10" s="1"/>
  <c r="K42" i="11" s="1"/>
  <c r="K42" i="12" s="1"/>
  <c r="K42" i="13" s="1"/>
  <c r="K43" i="4"/>
  <c r="K43" i="6" s="1"/>
  <c r="K43" i="7" s="1"/>
  <c r="K43" i="9" s="1"/>
  <c r="K43" i="10" s="1"/>
  <c r="K43" i="11" s="1"/>
  <c r="K43" i="12" s="1"/>
  <c r="K43" i="13" s="1"/>
  <c r="K45" i="4"/>
  <c r="K46" i="4"/>
  <c r="K46" i="6" s="1"/>
  <c r="K46" i="7" s="1"/>
  <c r="K46" i="9" s="1"/>
  <c r="K46" i="10" s="1"/>
  <c r="K46" i="11" s="1"/>
  <c r="K46" i="12" s="1"/>
  <c r="K46" i="13" s="1"/>
  <c r="K47" i="4"/>
  <c r="K47" i="6" s="1"/>
  <c r="K47" i="7" s="1"/>
  <c r="K47" i="9" s="1"/>
  <c r="K47" i="10" s="1"/>
  <c r="K47" i="11" s="1"/>
  <c r="K47" i="12" s="1"/>
  <c r="K47" i="13" s="1"/>
  <c r="K48" i="4"/>
  <c r="K48" i="6" s="1"/>
  <c r="K48" i="7" s="1"/>
  <c r="K48" i="9" s="1"/>
  <c r="K48" i="10" s="1"/>
  <c r="K48" i="11" s="1"/>
  <c r="K48" i="12" s="1"/>
  <c r="K48" i="13" s="1"/>
  <c r="K7" i="4"/>
  <c r="H8" i="4"/>
  <c r="H9" i="4"/>
  <c r="H10" i="4"/>
  <c r="H12" i="4"/>
  <c r="C12" i="6" s="1"/>
  <c r="H13" i="4"/>
  <c r="H14" i="4"/>
  <c r="H16" i="4"/>
  <c r="C16" i="6" s="1"/>
  <c r="H17" i="4"/>
  <c r="H18" i="4"/>
  <c r="H20" i="4"/>
  <c r="C20" i="6" s="1"/>
  <c r="H21" i="4"/>
  <c r="H22" i="4"/>
  <c r="H23" i="4"/>
  <c r="H26" i="4"/>
  <c r="C26" i="6" s="1"/>
  <c r="H27" i="4"/>
  <c r="H29" i="4"/>
  <c r="H30" i="4"/>
  <c r="H31" i="4"/>
  <c r="H32" i="4"/>
  <c r="H34" i="4"/>
  <c r="C34" i="6" s="1"/>
  <c r="H35" i="4"/>
  <c r="H36" i="4"/>
  <c r="H37" i="4"/>
  <c r="H40" i="4"/>
  <c r="C40" i="6" s="1"/>
  <c r="H41" i="4"/>
  <c r="H42" i="4"/>
  <c r="H43" i="4"/>
  <c r="H46" i="4"/>
  <c r="H47" i="4"/>
  <c r="H48" i="4"/>
  <c r="H7" i="4"/>
  <c r="C7" i="6" s="1"/>
  <c r="G8" i="4"/>
  <c r="G8" i="6" s="1"/>
  <c r="G8" i="7" s="1"/>
  <c r="G8" i="9" s="1"/>
  <c r="G8" i="10" s="1"/>
  <c r="G8" i="11" s="1"/>
  <c r="G8" i="12" s="1"/>
  <c r="G8" i="13" s="1"/>
  <c r="G9" i="4"/>
  <c r="G9" i="6" s="1"/>
  <c r="G9" i="7" s="1"/>
  <c r="G9" i="9" s="1"/>
  <c r="G9" i="10" s="1"/>
  <c r="G9" i="11" s="1"/>
  <c r="G9" i="12" s="1"/>
  <c r="G9" i="13" s="1"/>
  <c r="G10" i="4"/>
  <c r="G10" i="6" s="1"/>
  <c r="G10" i="7" s="1"/>
  <c r="G10" i="9" s="1"/>
  <c r="G10" i="10" s="1"/>
  <c r="G10" i="11" s="1"/>
  <c r="G10" i="12" s="1"/>
  <c r="G10" i="13" s="1"/>
  <c r="G12" i="4"/>
  <c r="G13" i="4"/>
  <c r="G13" i="6" s="1"/>
  <c r="G13" i="7" s="1"/>
  <c r="G13" i="9" s="1"/>
  <c r="G13" i="10" s="1"/>
  <c r="G13" i="11" s="1"/>
  <c r="G13" i="12" s="1"/>
  <c r="G13" i="13" s="1"/>
  <c r="G14" i="4"/>
  <c r="G14" i="6" s="1"/>
  <c r="G14" i="7" s="1"/>
  <c r="G14" i="9" s="1"/>
  <c r="G14" i="10" s="1"/>
  <c r="G14" i="11" s="1"/>
  <c r="G14" i="12" s="1"/>
  <c r="G14" i="13" s="1"/>
  <c r="G16" i="4"/>
  <c r="G17" i="4"/>
  <c r="G17" i="6" s="1"/>
  <c r="G17" i="7" s="1"/>
  <c r="G17" i="9" s="1"/>
  <c r="G17" i="10" s="1"/>
  <c r="G17" i="11" s="1"/>
  <c r="G17" i="12" s="1"/>
  <c r="G17" i="13" s="1"/>
  <c r="G18" i="4"/>
  <c r="G18" i="6" s="1"/>
  <c r="G20" i="4"/>
  <c r="G21" i="4"/>
  <c r="G21" i="6" s="1"/>
  <c r="G21" i="7" s="1"/>
  <c r="G21" i="9" s="1"/>
  <c r="G22" i="4"/>
  <c r="G22" i="6" s="1"/>
  <c r="G22" i="7" s="1"/>
  <c r="G22" i="9" s="1"/>
  <c r="G22" i="10" s="1"/>
  <c r="G22" i="11" s="1"/>
  <c r="G22" i="12" s="1"/>
  <c r="G22" i="13" s="1"/>
  <c r="G23" i="4"/>
  <c r="G23" i="6" s="1"/>
  <c r="G23" i="7" s="1"/>
  <c r="G23" i="9" s="1"/>
  <c r="G23" i="10" s="1"/>
  <c r="G23" i="11" s="1"/>
  <c r="G23" i="12" s="1"/>
  <c r="G23" i="13" s="1"/>
  <c r="G26" i="4"/>
  <c r="G27" i="4"/>
  <c r="G27" i="6" s="1"/>
  <c r="G27" i="7" s="1"/>
  <c r="G27" i="9" s="1"/>
  <c r="G27" i="10" s="1"/>
  <c r="G27" i="11" s="1"/>
  <c r="G27" i="12" s="1"/>
  <c r="G27" i="13" s="1"/>
  <c r="G29" i="4"/>
  <c r="G29" i="6" s="1"/>
  <c r="G30" i="4"/>
  <c r="G30" i="6" s="1"/>
  <c r="G30" i="7" s="1"/>
  <c r="G30" i="9" s="1"/>
  <c r="G30" i="10" s="1"/>
  <c r="G30" i="11" s="1"/>
  <c r="G30" i="12" s="1"/>
  <c r="G30" i="13" s="1"/>
  <c r="G31" i="4"/>
  <c r="G31" i="6" s="1"/>
  <c r="G31" i="7" s="1"/>
  <c r="G31" i="9" s="1"/>
  <c r="G31" i="10" s="1"/>
  <c r="G31" i="11" s="1"/>
  <c r="G31" i="12" s="1"/>
  <c r="G31" i="13" s="1"/>
  <c r="G32" i="4"/>
  <c r="G34" i="4"/>
  <c r="G35" i="4"/>
  <c r="G35" i="6" s="1"/>
  <c r="G35" i="7" s="1"/>
  <c r="G35" i="9" s="1"/>
  <c r="G35" i="10" s="1"/>
  <c r="G35" i="11" s="1"/>
  <c r="G35" i="12" s="1"/>
  <c r="G35" i="13" s="1"/>
  <c r="G36" i="4"/>
  <c r="G36" i="6" s="1"/>
  <c r="G36" i="7" s="1"/>
  <c r="G36" i="9" s="1"/>
  <c r="G36" i="10" s="1"/>
  <c r="G36" i="11" s="1"/>
  <c r="G36" i="12" s="1"/>
  <c r="G36" i="13" s="1"/>
  <c r="G37" i="4"/>
  <c r="G37" i="6" s="1"/>
  <c r="G37" i="7" s="1"/>
  <c r="G37" i="9" s="1"/>
  <c r="G37" i="10" s="1"/>
  <c r="G37" i="11" s="1"/>
  <c r="G37" i="12" s="1"/>
  <c r="G37" i="13" s="1"/>
  <c r="G40" i="4"/>
  <c r="G41" i="4"/>
  <c r="G41" i="6" s="1"/>
  <c r="G41" i="7" s="1"/>
  <c r="G41" i="9" s="1"/>
  <c r="G41" i="10" s="1"/>
  <c r="G41" i="11" s="1"/>
  <c r="G41" i="12" s="1"/>
  <c r="G41" i="13" s="1"/>
  <c r="G42" i="4"/>
  <c r="G42" i="6" s="1"/>
  <c r="G42" i="7" s="1"/>
  <c r="G42" i="9" s="1"/>
  <c r="G42" i="10" s="1"/>
  <c r="G42" i="11" s="1"/>
  <c r="G42" i="12" s="1"/>
  <c r="G42" i="13" s="1"/>
  <c r="G43" i="4"/>
  <c r="G43" i="6" s="1"/>
  <c r="G43" i="7" s="1"/>
  <c r="G43" i="9" s="1"/>
  <c r="G43" i="10" s="1"/>
  <c r="G43" i="11" s="1"/>
  <c r="G43" i="12" s="1"/>
  <c r="G43" i="13" s="1"/>
  <c r="G45" i="4"/>
  <c r="G46" i="4"/>
  <c r="G46" i="6" s="1"/>
  <c r="G46" i="7" s="1"/>
  <c r="G46" i="9" s="1"/>
  <c r="G46" i="10" s="1"/>
  <c r="G46" i="11" s="1"/>
  <c r="G46" i="12" s="1"/>
  <c r="G46" i="13" s="1"/>
  <c r="G47" i="4"/>
  <c r="G47" i="6" s="1"/>
  <c r="G47" i="7" s="1"/>
  <c r="G47" i="9" s="1"/>
  <c r="G47" i="10" s="1"/>
  <c r="G47" i="11" s="1"/>
  <c r="G47" i="12" s="1"/>
  <c r="G47" i="13" s="1"/>
  <c r="G48" i="4"/>
  <c r="G48" i="6" s="1"/>
  <c r="G48" i="7" s="1"/>
  <c r="G48" i="9" s="1"/>
  <c r="G48" i="10" s="1"/>
  <c r="G48" i="11" s="1"/>
  <c r="G48" i="12" s="1"/>
  <c r="G48" i="13" s="1"/>
  <c r="G7" i="4"/>
  <c r="E8" i="4"/>
  <c r="E8" i="6" s="1"/>
  <c r="E8" i="7" s="1"/>
  <c r="E8" i="9" s="1"/>
  <c r="E8" i="10" s="1"/>
  <c r="E8" i="11" s="1"/>
  <c r="E8" i="12" s="1"/>
  <c r="E8" i="13" s="1"/>
  <c r="E9" i="4"/>
  <c r="E9" i="6" s="1"/>
  <c r="E9" i="7" s="1"/>
  <c r="E9" i="9" s="1"/>
  <c r="E9" i="10" s="1"/>
  <c r="E9" i="11" s="1"/>
  <c r="E9" i="12" s="1"/>
  <c r="E9" i="13" s="1"/>
  <c r="E10" i="4"/>
  <c r="E10" i="6" s="1"/>
  <c r="E10" i="7" s="1"/>
  <c r="E10" i="9" s="1"/>
  <c r="E10" i="10" s="1"/>
  <c r="E10" i="11" s="1"/>
  <c r="E10" i="12" s="1"/>
  <c r="E10" i="13" s="1"/>
  <c r="E12" i="4"/>
  <c r="E13" i="4"/>
  <c r="E13" i="6" s="1"/>
  <c r="E13" i="7" s="1"/>
  <c r="E13" i="9" s="1"/>
  <c r="E13" i="10" s="1"/>
  <c r="E13" i="11" s="1"/>
  <c r="E13" i="12" s="1"/>
  <c r="E13" i="13" s="1"/>
  <c r="E14" i="4"/>
  <c r="E14" i="6" s="1"/>
  <c r="E14" i="7" s="1"/>
  <c r="E14" i="9" s="1"/>
  <c r="E14" i="10" s="1"/>
  <c r="E14" i="11" s="1"/>
  <c r="E14" i="12" s="1"/>
  <c r="E14" i="13" s="1"/>
  <c r="E16" i="4"/>
  <c r="E17" i="4"/>
  <c r="E17" i="6" s="1"/>
  <c r="E17" i="7" s="1"/>
  <c r="E17" i="9" s="1"/>
  <c r="E17" i="10" s="1"/>
  <c r="E17" i="11" s="1"/>
  <c r="E17" i="12" s="1"/>
  <c r="E17" i="13" s="1"/>
  <c r="E18" i="4"/>
  <c r="E18" i="6" s="1"/>
  <c r="E18" i="7" s="1"/>
  <c r="E18" i="9" s="1"/>
  <c r="E18" i="10" s="1"/>
  <c r="E18" i="11" s="1"/>
  <c r="E18" i="12" s="1"/>
  <c r="E18" i="13" s="1"/>
  <c r="E20" i="4"/>
  <c r="E21" i="4"/>
  <c r="E21" i="6" s="1"/>
  <c r="E21" i="7" s="1"/>
  <c r="E21" i="9" s="1"/>
  <c r="E21" i="10" s="1"/>
  <c r="E21" i="11" s="1"/>
  <c r="E21" i="12" s="1"/>
  <c r="E21" i="13" s="1"/>
  <c r="E22" i="4"/>
  <c r="E22" i="6" s="1"/>
  <c r="E22" i="7" s="1"/>
  <c r="E22" i="9" s="1"/>
  <c r="E22" i="10" s="1"/>
  <c r="E22" i="11" s="1"/>
  <c r="E22" i="12" s="1"/>
  <c r="E22" i="13" s="1"/>
  <c r="E23" i="4"/>
  <c r="E23" i="6" s="1"/>
  <c r="E26" i="4"/>
  <c r="E27" i="4"/>
  <c r="E27" i="6" s="1"/>
  <c r="E27" i="7" s="1"/>
  <c r="E29" i="4"/>
  <c r="E30" i="4"/>
  <c r="E30" i="6" s="1"/>
  <c r="E30" i="7" s="1"/>
  <c r="E30" i="9" s="1"/>
  <c r="E30" i="10" s="1"/>
  <c r="E30" i="11" s="1"/>
  <c r="E30" i="12" s="1"/>
  <c r="E30" i="13" s="1"/>
  <c r="E31" i="4"/>
  <c r="E31" i="6" s="1"/>
  <c r="E31" i="7" s="1"/>
  <c r="E31" i="9" s="1"/>
  <c r="E31" i="10" s="1"/>
  <c r="E31" i="11" s="1"/>
  <c r="E31" i="12" s="1"/>
  <c r="E31" i="13" s="1"/>
  <c r="E32" i="4"/>
  <c r="E32" i="6" s="1"/>
  <c r="E32" i="7" s="1"/>
  <c r="E32" i="9" s="1"/>
  <c r="E32" i="10" s="1"/>
  <c r="E32" i="11" s="1"/>
  <c r="E32" i="12" s="1"/>
  <c r="E32" i="13" s="1"/>
  <c r="E34" i="4"/>
  <c r="E35" i="4"/>
  <c r="E35" i="6" s="1"/>
  <c r="E35" i="7" s="1"/>
  <c r="E35" i="9" s="1"/>
  <c r="E35" i="10" s="1"/>
  <c r="E35" i="11" s="1"/>
  <c r="E35" i="12" s="1"/>
  <c r="E36" i="4"/>
  <c r="E36" i="6" s="1"/>
  <c r="E36" i="7" s="1"/>
  <c r="E36" i="9" s="1"/>
  <c r="E36" i="10" s="1"/>
  <c r="E36" i="11" s="1"/>
  <c r="E36" i="12" s="1"/>
  <c r="E37" i="4"/>
  <c r="E37" i="6" s="1"/>
  <c r="E37" i="7" s="1"/>
  <c r="E37" i="9" s="1"/>
  <c r="E37" i="10" s="1"/>
  <c r="E37" i="11" s="1"/>
  <c r="E37" i="12" s="1"/>
  <c r="E37" i="13" s="1"/>
  <c r="E40" i="4"/>
  <c r="E41" i="4"/>
  <c r="E41" i="6" s="1"/>
  <c r="E41" i="7" s="1"/>
  <c r="E41" i="9" s="1"/>
  <c r="E41" i="10" s="1"/>
  <c r="E41" i="11" s="1"/>
  <c r="E41" i="12" s="1"/>
  <c r="E41" i="13" s="1"/>
  <c r="E42" i="4"/>
  <c r="E42" i="6" s="1"/>
  <c r="E42" i="7" s="1"/>
  <c r="E42" i="9" s="1"/>
  <c r="E42" i="10" s="1"/>
  <c r="E42" i="11" s="1"/>
  <c r="E42" i="12" s="1"/>
  <c r="E42" i="13" s="1"/>
  <c r="E43" i="4"/>
  <c r="E43" i="6" s="1"/>
  <c r="E43" i="7" s="1"/>
  <c r="E43" i="9" s="1"/>
  <c r="E43" i="10" s="1"/>
  <c r="E43" i="11" s="1"/>
  <c r="E43" i="12" s="1"/>
  <c r="E43" i="13" s="1"/>
  <c r="E46" i="4"/>
  <c r="E46" i="6" s="1"/>
  <c r="E46" i="7" s="1"/>
  <c r="E46" i="9" s="1"/>
  <c r="E46" i="10" s="1"/>
  <c r="E46" i="11" s="1"/>
  <c r="E46" i="12" s="1"/>
  <c r="E46" i="13" s="1"/>
  <c r="E47" i="4"/>
  <c r="E47" i="6" s="1"/>
  <c r="E47" i="7" s="1"/>
  <c r="E47" i="9" s="1"/>
  <c r="E47" i="10" s="1"/>
  <c r="E47" i="11" s="1"/>
  <c r="E47" i="12" s="1"/>
  <c r="E47" i="13" s="1"/>
  <c r="E48" i="4"/>
  <c r="E48" i="6" s="1"/>
  <c r="E48" i="7" s="1"/>
  <c r="E48" i="9" s="1"/>
  <c r="E48" i="10" s="1"/>
  <c r="E48" i="11" s="1"/>
  <c r="E48" i="12" s="1"/>
  <c r="E48" i="13" s="1"/>
  <c r="E7" i="4"/>
  <c r="C37" i="6" l="1"/>
  <c r="H37" i="6" s="1"/>
  <c r="I36" i="10"/>
  <c r="N36" i="10" s="1"/>
  <c r="C42" i="6"/>
  <c r="H42" i="6" s="1"/>
  <c r="C47" i="6"/>
  <c r="H47" i="6" s="1"/>
  <c r="C41" i="6"/>
  <c r="H41" i="6" s="1"/>
  <c r="C35" i="6"/>
  <c r="H35" i="6" s="1"/>
  <c r="C30" i="6"/>
  <c r="H30" i="6" s="1"/>
  <c r="C23" i="6"/>
  <c r="H23" i="6" s="1"/>
  <c r="C18" i="6"/>
  <c r="H18" i="6" s="1"/>
  <c r="C13" i="6"/>
  <c r="H13" i="6" s="1"/>
  <c r="C8" i="6"/>
  <c r="H8" i="6" s="1"/>
  <c r="I7" i="7"/>
  <c r="N7" i="7" s="1"/>
  <c r="I7" i="9" s="1"/>
  <c r="N7" i="9" s="1"/>
  <c r="N11" i="6"/>
  <c r="I11" i="7" s="1"/>
  <c r="N49" i="6"/>
  <c r="I45" i="7"/>
  <c r="N45" i="7" s="1"/>
  <c r="N44" i="6"/>
  <c r="I44" i="7" s="1"/>
  <c r="I40" i="7"/>
  <c r="N40" i="7" s="1"/>
  <c r="I34" i="7"/>
  <c r="N34" i="7" s="1"/>
  <c r="N38" i="6"/>
  <c r="N33" i="6"/>
  <c r="I33" i="7" s="1"/>
  <c r="I29" i="7"/>
  <c r="N29" i="7" s="1"/>
  <c r="I22" i="10"/>
  <c r="N22" i="10" s="1"/>
  <c r="I17" i="10"/>
  <c r="N17" i="10" s="1"/>
  <c r="I12" i="7"/>
  <c r="N12" i="7" s="1"/>
  <c r="N15" i="6"/>
  <c r="I15" i="7" s="1"/>
  <c r="O48" i="10"/>
  <c r="T48" i="10" s="1"/>
  <c r="O43" i="10"/>
  <c r="T43" i="10" s="1"/>
  <c r="O37" i="10"/>
  <c r="T37" i="10" s="1"/>
  <c r="O32" i="10"/>
  <c r="T32" i="10" s="1"/>
  <c r="O27" i="10"/>
  <c r="T27" i="10" s="1"/>
  <c r="O21" i="11"/>
  <c r="T21" i="11" s="1"/>
  <c r="T19" i="4"/>
  <c r="O19" i="6" s="1"/>
  <c r="O16" i="6"/>
  <c r="T16" i="6" s="1"/>
  <c r="O10" i="10"/>
  <c r="T10" i="10" s="1"/>
  <c r="C46" i="6"/>
  <c r="H46" i="6" s="1"/>
  <c r="C29" i="6"/>
  <c r="H29" i="6" s="1"/>
  <c r="C22" i="6"/>
  <c r="H22" i="6" s="1"/>
  <c r="C17" i="6"/>
  <c r="H17" i="6" s="1"/>
  <c r="I48" i="10"/>
  <c r="N48" i="10" s="1"/>
  <c r="I43" i="10"/>
  <c r="N43" i="10" s="1"/>
  <c r="I37" i="10"/>
  <c r="N37" i="10" s="1"/>
  <c r="I32" i="10"/>
  <c r="N32" i="10" s="1"/>
  <c r="I27" i="10"/>
  <c r="N27" i="10" s="1"/>
  <c r="I21" i="10"/>
  <c r="N21" i="10" s="1"/>
  <c r="I16" i="9"/>
  <c r="N16" i="9" s="1"/>
  <c r="N11" i="7"/>
  <c r="I11" i="9" s="1"/>
  <c r="I10" i="9"/>
  <c r="N10" i="9" s="1"/>
  <c r="O47" i="10"/>
  <c r="T47" i="10" s="1"/>
  <c r="O42" i="10"/>
  <c r="T42" i="10" s="1"/>
  <c r="O36" i="10"/>
  <c r="T36" i="10" s="1"/>
  <c r="O31" i="10"/>
  <c r="T31" i="10" s="1"/>
  <c r="T28" i="4"/>
  <c r="O28" i="6" s="1"/>
  <c r="O26" i="6"/>
  <c r="T26" i="6" s="1"/>
  <c r="O20" i="7"/>
  <c r="T20" i="7" s="1"/>
  <c r="T24" i="6"/>
  <c r="O24" i="7" s="1"/>
  <c r="O14" i="10"/>
  <c r="T14" i="10" s="1"/>
  <c r="O9" i="10"/>
  <c r="T9" i="10" s="1"/>
  <c r="C43" i="6"/>
  <c r="H43" i="6" s="1"/>
  <c r="C27" i="6"/>
  <c r="H27" i="6" s="1"/>
  <c r="C10" i="6"/>
  <c r="H10" i="6" s="1"/>
  <c r="I47" i="10"/>
  <c r="N47" i="10" s="1"/>
  <c r="I31" i="10"/>
  <c r="N31" i="10" s="1"/>
  <c r="N28" i="4"/>
  <c r="I28" i="6" s="1"/>
  <c r="I26" i="6"/>
  <c r="N26" i="6" s="1"/>
  <c r="N24" i="4"/>
  <c r="I24" i="6" s="1"/>
  <c r="I20" i="6"/>
  <c r="N20" i="6" s="1"/>
  <c r="I14" i="10"/>
  <c r="N14" i="10" s="1"/>
  <c r="I9" i="10"/>
  <c r="N9" i="10" s="1"/>
  <c r="O46" i="10"/>
  <c r="T46" i="10" s="1"/>
  <c r="O41" i="10"/>
  <c r="T41" i="10" s="1"/>
  <c r="O35" i="10"/>
  <c r="T35" i="10" s="1"/>
  <c r="O30" i="10"/>
  <c r="T30" i="10" s="1"/>
  <c r="O23" i="10"/>
  <c r="T23" i="10" s="1"/>
  <c r="O18" i="10"/>
  <c r="T18" i="10" s="1"/>
  <c r="O13" i="10"/>
  <c r="T13" i="10" s="1"/>
  <c r="O8" i="10"/>
  <c r="T8" i="10" s="1"/>
  <c r="C32" i="6"/>
  <c r="H32" i="6" s="1"/>
  <c r="C21" i="6"/>
  <c r="H21" i="6" s="1"/>
  <c r="I42" i="10"/>
  <c r="N42" i="10" s="1"/>
  <c r="C48" i="6"/>
  <c r="H48" i="6" s="1"/>
  <c r="C36" i="6"/>
  <c r="H36" i="6" s="1"/>
  <c r="C31" i="6"/>
  <c r="H31" i="6" s="1"/>
  <c r="C14" i="6"/>
  <c r="H14" i="6" s="1"/>
  <c r="C9" i="6"/>
  <c r="H9" i="6" s="1"/>
  <c r="I46" i="10"/>
  <c r="N46" i="10" s="1"/>
  <c r="I41" i="10"/>
  <c r="N41" i="10" s="1"/>
  <c r="I35" i="10"/>
  <c r="N35" i="10" s="1"/>
  <c r="I30" i="10"/>
  <c r="N30" i="10" s="1"/>
  <c r="I23" i="10"/>
  <c r="N23" i="10" s="1"/>
  <c r="N19" i="6"/>
  <c r="I19" i="7" s="1"/>
  <c r="I18" i="7"/>
  <c r="N18" i="7" s="1"/>
  <c r="I18" i="9" s="1"/>
  <c r="N18" i="9" s="1"/>
  <c r="I13" i="10"/>
  <c r="N13" i="10" s="1"/>
  <c r="I8" i="10"/>
  <c r="N8" i="10" s="1"/>
  <c r="T11" i="4"/>
  <c r="O11" i="6" s="1"/>
  <c r="O7" i="6"/>
  <c r="T7" i="6" s="1"/>
  <c r="T49" i="6"/>
  <c r="O45" i="7"/>
  <c r="T45" i="7" s="1"/>
  <c r="T44" i="6"/>
  <c r="O44" i="7" s="1"/>
  <c r="O40" i="7"/>
  <c r="T40" i="7" s="1"/>
  <c r="O34" i="7"/>
  <c r="T34" i="7" s="1"/>
  <c r="T38" i="6"/>
  <c r="O29" i="7"/>
  <c r="T29" i="7" s="1"/>
  <c r="T33" i="6"/>
  <c r="O33" i="7" s="1"/>
  <c r="O22" i="10"/>
  <c r="T22" i="10" s="1"/>
  <c r="O17" i="10"/>
  <c r="T17" i="10" s="1"/>
  <c r="T15" i="6"/>
  <c r="O15" i="7" s="1"/>
  <c r="O12" i="7"/>
  <c r="T12" i="7" s="1"/>
  <c r="T24" i="4"/>
  <c r="O24" i="6" s="1"/>
  <c r="E46" i="16"/>
  <c r="E46" i="18" s="1"/>
  <c r="E32" i="16"/>
  <c r="E32" i="18" s="1"/>
  <c r="E27" i="9"/>
  <c r="E27" i="10" s="1"/>
  <c r="E27" i="11" s="1"/>
  <c r="E10" i="16"/>
  <c r="E10" i="18" s="1"/>
  <c r="G43" i="16"/>
  <c r="G43" i="18" s="1"/>
  <c r="G33" i="4"/>
  <c r="G32" i="6"/>
  <c r="G32" i="7" s="1"/>
  <c r="G32" i="9" s="1"/>
  <c r="G32" i="10" s="1"/>
  <c r="G32" i="11" s="1"/>
  <c r="G32" i="12" s="1"/>
  <c r="G32" i="13" s="1"/>
  <c r="E48" i="16"/>
  <c r="E48" i="18" s="1"/>
  <c r="E31" i="16"/>
  <c r="E31" i="18" s="1"/>
  <c r="E26" i="6"/>
  <c r="E28" i="4"/>
  <c r="E20" i="6"/>
  <c r="E20" i="7" s="1"/>
  <c r="E24" i="4"/>
  <c r="E14" i="16"/>
  <c r="E14" i="18" s="1"/>
  <c r="E9" i="16"/>
  <c r="E9" i="18" s="1"/>
  <c r="G47" i="16"/>
  <c r="G47" i="18" s="1"/>
  <c r="G42" i="16"/>
  <c r="G42" i="18" s="1"/>
  <c r="G36" i="16"/>
  <c r="G36" i="18" s="1"/>
  <c r="G31" i="16"/>
  <c r="G31" i="18" s="1"/>
  <c r="G26" i="6"/>
  <c r="G28" i="4"/>
  <c r="G20" i="6"/>
  <c r="G24" i="4"/>
  <c r="G14" i="16"/>
  <c r="G9" i="16"/>
  <c r="G9" i="18" s="1"/>
  <c r="K46" i="16"/>
  <c r="K46" i="18" s="1"/>
  <c r="K41" i="16"/>
  <c r="K41" i="18" s="1"/>
  <c r="K35" i="16"/>
  <c r="K30" i="16"/>
  <c r="K30" i="18" s="1"/>
  <c r="K22" i="16"/>
  <c r="K22" i="18" s="1"/>
  <c r="K17" i="16"/>
  <c r="K17" i="18" s="1"/>
  <c r="K12" i="6"/>
  <c r="K15" i="4"/>
  <c r="M7" i="6"/>
  <c r="M11" i="4"/>
  <c r="M45" i="6"/>
  <c r="M49" i="4"/>
  <c r="M40" i="6"/>
  <c r="M44" i="4"/>
  <c r="M34" i="6"/>
  <c r="M38" i="4"/>
  <c r="M29" i="6"/>
  <c r="M33" i="4"/>
  <c r="M22" i="16"/>
  <c r="M22" i="18" s="1"/>
  <c r="M17" i="7"/>
  <c r="M17" i="9" s="1"/>
  <c r="M17" i="10" s="1"/>
  <c r="M17" i="11" s="1"/>
  <c r="M17" i="12" s="1"/>
  <c r="M17" i="13" s="1"/>
  <c r="M12" i="6"/>
  <c r="M15" i="4"/>
  <c r="N11" i="4"/>
  <c r="I11" i="6" s="1"/>
  <c r="N49" i="4"/>
  <c r="I49" i="6" s="1"/>
  <c r="N44" i="4"/>
  <c r="I44" i="6" s="1"/>
  <c r="N38" i="4"/>
  <c r="I38" i="6" s="1"/>
  <c r="N33" i="4"/>
  <c r="I33" i="6" s="1"/>
  <c r="N15" i="4"/>
  <c r="I15" i="6" s="1"/>
  <c r="Q7" i="6"/>
  <c r="Q11" i="4"/>
  <c r="Q45" i="6"/>
  <c r="Q49" i="4"/>
  <c r="Q50" i="4" s="1"/>
  <c r="Q40" i="6"/>
  <c r="Q44" i="4"/>
  <c r="Q34" i="6"/>
  <c r="Q38" i="4"/>
  <c r="Q29" i="6"/>
  <c r="Q33" i="4"/>
  <c r="Q22" i="16"/>
  <c r="Q22" i="18" s="1"/>
  <c r="Q16" i="6"/>
  <c r="Q19" i="4"/>
  <c r="Q10" i="16"/>
  <c r="Q10" i="18" s="1"/>
  <c r="S48" i="16"/>
  <c r="S48" i="18" s="1"/>
  <c r="S43" i="16"/>
  <c r="S43" i="18" s="1"/>
  <c r="S37" i="16"/>
  <c r="S37" i="18" s="1"/>
  <c r="S32" i="16"/>
  <c r="S32" i="18" s="1"/>
  <c r="S27" i="16"/>
  <c r="S27" i="18" s="1"/>
  <c r="S21" i="10"/>
  <c r="S21" i="11" s="1"/>
  <c r="S21" i="12" s="1"/>
  <c r="S21" i="13" s="1"/>
  <c r="S16" i="6"/>
  <c r="S19" i="4"/>
  <c r="S10" i="16"/>
  <c r="S10" i="18" s="1"/>
  <c r="E45" i="4"/>
  <c r="E13" i="16"/>
  <c r="E13" i="18" s="1"/>
  <c r="E8" i="16"/>
  <c r="E8" i="18" s="1"/>
  <c r="G46" i="16"/>
  <c r="G46" i="18" s="1"/>
  <c r="G41" i="16"/>
  <c r="G41" i="18" s="1"/>
  <c r="G35" i="16"/>
  <c r="G35" i="18" s="1"/>
  <c r="G30" i="16"/>
  <c r="G30" i="18" s="1"/>
  <c r="G23" i="16"/>
  <c r="G23" i="18" s="1"/>
  <c r="G18" i="7"/>
  <c r="G18" i="9" s="1"/>
  <c r="G18" i="10" s="1"/>
  <c r="G18" i="11" s="1"/>
  <c r="G18" i="12" s="1"/>
  <c r="G18" i="13" s="1"/>
  <c r="G13" i="16"/>
  <c r="G13" i="18" s="1"/>
  <c r="G8" i="16"/>
  <c r="G8" i="18" s="1"/>
  <c r="H38" i="4"/>
  <c r="C38" i="6" s="1"/>
  <c r="H34" i="6"/>
  <c r="C34" i="7" s="1"/>
  <c r="H12" i="6"/>
  <c r="C12" i="7" s="1"/>
  <c r="H15" i="4"/>
  <c r="C15" i="6" s="1"/>
  <c r="K7" i="6"/>
  <c r="K11" i="4"/>
  <c r="K45" i="6"/>
  <c r="K49" i="4"/>
  <c r="K50" i="4" s="1"/>
  <c r="K40" i="6"/>
  <c r="K44" i="4"/>
  <c r="K34" i="6"/>
  <c r="K38" i="4"/>
  <c r="K27" i="11"/>
  <c r="K27" i="12" s="1"/>
  <c r="K27" i="13" s="1"/>
  <c r="K21" i="16"/>
  <c r="K21" i="18" s="1"/>
  <c r="K16" i="7"/>
  <c r="K10" i="16"/>
  <c r="K10" i="18" s="1"/>
  <c r="M48" i="16"/>
  <c r="M48" i="18" s="1"/>
  <c r="M43" i="16"/>
  <c r="M43" i="18" s="1"/>
  <c r="M37" i="16"/>
  <c r="M37" i="18" s="1"/>
  <c r="M32" i="16"/>
  <c r="M32" i="18" s="1"/>
  <c r="M27" i="16"/>
  <c r="M27" i="18" s="1"/>
  <c r="M21" i="16"/>
  <c r="M21" i="18" s="1"/>
  <c r="M16" i="6"/>
  <c r="M16" i="7" s="1"/>
  <c r="M19" i="4"/>
  <c r="M10" i="16"/>
  <c r="M10" i="18" s="1"/>
  <c r="Q48" i="16"/>
  <c r="Q48" i="18" s="1"/>
  <c r="Q43" i="16"/>
  <c r="Q43" i="18" s="1"/>
  <c r="Q37" i="16"/>
  <c r="Q37" i="18" s="1"/>
  <c r="Q32" i="16"/>
  <c r="Q32" i="18" s="1"/>
  <c r="Q27" i="9"/>
  <c r="Q27" i="10" s="1"/>
  <c r="Q27" i="11" s="1"/>
  <c r="Q21" i="16"/>
  <c r="Q21" i="18" s="1"/>
  <c r="Q14" i="16"/>
  <c r="Q14" i="18" s="1"/>
  <c r="Q9" i="16"/>
  <c r="Q9" i="18" s="1"/>
  <c r="S47" i="16"/>
  <c r="S47" i="18" s="1"/>
  <c r="S42" i="16"/>
  <c r="S42" i="18" s="1"/>
  <c r="S36" i="16"/>
  <c r="S36" i="18" s="1"/>
  <c r="S31" i="16"/>
  <c r="S31" i="18" s="1"/>
  <c r="S26" i="6"/>
  <c r="S28" i="4"/>
  <c r="S20" i="6"/>
  <c r="S24" i="4"/>
  <c r="S14" i="16"/>
  <c r="S14" i="18" s="1"/>
  <c r="S9" i="16"/>
  <c r="S9" i="18" s="1"/>
  <c r="E30" i="16"/>
  <c r="E30" i="18" s="1"/>
  <c r="E24" i="6"/>
  <c r="E23" i="7"/>
  <c r="E23" i="9" s="1"/>
  <c r="E23" i="10" s="1"/>
  <c r="E23" i="11" s="1"/>
  <c r="E33" i="4"/>
  <c r="E29" i="6"/>
  <c r="E22" i="16"/>
  <c r="E22" i="18" s="1"/>
  <c r="E17" i="16"/>
  <c r="E17" i="18" s="1"/>
  <c r="E12" i="6"/>
  <c r="E15" i="4"/>
  <c r="G7" i="6"/>
  <c r="G11" i="4"/>
  <c r="G45" i="6"/>
  <c r="G49" i="4"/>
  <c r="G50" i="4" s="1"/>
  <c r="G40" i="6"/>
  <c r="G44" i="4"/>
  <c r="G34" i="6"/>
  <c r="G38" i="4"/>
  <c r="G29" i="7"/>
  <c r="G33" i="6"/>
  <c r="G22" i="16"/>
  <c r="G22" i="18" s="1"/>
  <c r="G17" i="16"/>
  <c r="G12" i="6"/>
  <c r="G15" i="4"/>
  <c r="H7" i="6"/>
  <c r="H11" i="4"/>
  <c r="C11" i="6" s="1"/>
  <c r="H16" i="6"/>
  <c r="C16" i="7" s="1"/>
  <c r="H19" i="4"/>
  <c r="C19" i="6" s="1"/>
  <c r="K48" i="16"/>
  <c r="K48" i="18" s="1"/>
  <c r="K43" i="16"/>
  <c r="K43" i="18" s="1"/>
  <c r="K37" i="16"/>
  <c r="K37" i="18" s="1"/>
  <c r="K32" i="12"/>
  <c r="K32" i="13" s="1"/>
  <c r="K26" i="6"/>
  <c r="K28" i="4"/>
  <c r="K20" i="6"/>
  <c r="K24" i="4"/>
  <c r="K14" i="16"/>
  <c r="K14" i="18" s="1"/>
  <c r="K9" i="16"/>
  <c r="K9" i="18" s="1"/>
  <c r="M47" i="16"/>
  <c r="M47" i="18" s="1"/>
  <c r="M42" i="16"/>
  <c r="M42" i="18" s="1"/>
  <c r="M36" i="16"/>
  <c r="M36" i="18" s="1"/>
  <c r="M31" i="16"/>
  <c r="M31" i="18" s="1"/>
  <c r="M26" i="6"/>
  <c r="M28" i="4"/>
  <c r="M20" i="6"/>
  <c r="M24" i="4"/>
  <c r="M25" i="4" s="1"/>
  <c r="M14" i="16"/>
  <c r="M14" i="18" s="1"/>
  <c r="M9" i="16"/>
  <c r="Q47" i="16"/>
  <c r="Q47" i="18" s="1"/>
  <c r="Q42" i="16"/>
  <c r="Q42" i="18" s="1"/>
  <c r="Q36" i="16"/>
  <c r="Q36" i="18" s="1"/>
  <c r="Q31" i="16"/>
  <c r="Q31" i="18" s="1"/>
  <c r="Q26" i="6"/>
  <c r="Q28" i="4"/>
  <c r="Q20" i="6"/>
  <c r="Q24" i="4"/>
  <c r="Q13" i="16"/>
  <c r="Q13" i="18" s="1"/>
  <c r="Q8" i="16"/>
  <c r="Q8" i="18" s="1"/>
  <c r="S46" i="16"/>
  <c r="S46" i="18" s="1"/>
  <c r="S41" i="16"/>
  <c r="S41" i="18" s="1"/>
  <c r="S35" i="16"/>
  <c r="S35" i="18" s="1"/>
  <c r="S30" i="16"/>
  <c r="S30" i="18" s="1"/>
  <c r="S23" i="16"/>
  <c r="S23" i="18" s="1"/>
  <c r="S18" i="16"/>
  <c r="S18" i="18" s="1"/>
  <c r="S13" i="16"/>
  <c r="S13" i="18" s="1"/>
  <c r="S8" i="16"/>
  <c r="S8" i="18" s="1"/>
  <c r="E47" i="16"/>
  <c r="E47" i="18" s="1"/>
  <c r="E18" i="16"/>
  <c r="E18" i="18" s="1"/>
  <c r="E7" i="6"/>
  <c r="E11" i="4"/>
  <c r="E37" i="16"/>
  <c r="E37" i="18" s="1"/>
  <c r="E21" i="16"/>
  <c r="E21" i="18" s="1"/>
  <c r="E16" i="6"/>
  <c r="E19" i="4"/>
  <c r="G48" i="16"/>
  <c r="G48" i="18" s="1"/>
  <c r="G37" i="16"/>
  <c r="G37" i="18" s="1"/>
  <c r="G27" i="16"/>
  <c r="G27" i="18" s="1"/>
  <c r="G21" i="10"/>
  <c r="G21" i="11" s="1"/>
  <c r="G21" i="12" s="1"/>
  <c r="G21" i="13" s="1"/>
  <c r="G16" i="6"/>
  <c r="G16" i="7" s="1"/>
  <c r="G19" i="4"/>
  <c r="G10" i="16"/>
  <c r="G10" i="18" s="1"/>
  <c r="H26" i="6"/>
  <c r="C26" i="7" s="1"/>
  <c r="H28" i="4"/>
  <c r="C28" i="6" s="1"/>
  <c r="H20" i="6"/>
  <c r="C20" i="7" s="1"/>
  <c r="H24" i="4"/>
  <c r="C24" i="6" s="1"/>
  <c r="K47" i="16"/>
  <c r="K47" i="18" s="1"/>
  <c r="K42" i="16"/>
  <c r="K42" i="18" s="1"/>
  <c r="K36" i="12"/>
  <c r="K31" i="16"/>
  <c r="K31" i="18" s="1"/>
  <c r="K23" i="16"/>
  <c r="K23" i="18" s="1"/>
  <c r="K19" i="4"/>
  <c r="K25" i="4" s="1"/>
  <c r="K18" i="6"/>
  <c r="K18" i="7" s="1"/>
  <c r="K18" i="9" s="1"/>
  <c r="K18" i="10" s="1"/>
  <c r="K18" i="11" s="1"/>
  <c r="K18" i="12" s="1"/>
  <c r="K18" i="13" s="1"/>
  <c r="K13" i="16"/>
  <c r="K13" i="18" s="1"/>
  <c r="K8" i="16"/>
  <c r="K8" i="18" s="1"/>
  <c r="M46" i="16"/>
  <c r="M46" i="18" s="1"/>
  <c r="M41" i="16"/>
  <c r="M41" i="18" s="1"/>
  <c r="M35" i="16"/>
  <c r="M30" i="16"/>
  <c r="M30" i="18" s="1"/>
  <c r="M23" i="16"/>
  <c r="M23" i="18" s="1"/>
  <c r="M18" i="16"/>
  <c r="M13" i="16"/>
  <c r="M13" i="18" s="1"/>
  <c r="M8" i="16"/>
  <c r="M8" i="18" s="1"/>
  <c r="N19" i="4"/>
  <c r="Q46" i="16"/>
  <c r="Q46" i="18" s="1"/>
  <c r="Q41" i="16"/>
  <c r="Q41" i="18" s="1"/>
  <c r="Q35" i="16"/>
  <c r="Q35" i="18" s="1"/>
  <c r="Q30" i="16"/>
  <c r="Q30" i="18" s="1"/>
  <c r="Q23" i="16"/>
  <c r="Q23" i="18" s="1"/>
  <c r="Q18" i="16"/>
  <c r="Q18" i="18" s="1"/>
  <c r="Q12" i="6"/>
  <c r="Q15" i="4"/>
  <c r="S7" i="6"/>
  <c r="S11" i="4"/>
  <c r="S45" i="6"/>
  <c r="S49" i="4"/>
  <c r="S40" i="6"/>
  <c r="S44" i="4"/>
  <c r="S34" i="6"/>
  <c r="S38" i="4"/>
  <c r="S29" i="6"/>
  <c r="S33" i="4"/>
  <c r="S22" i="16"/>
  <c r="S22" i="18" s="1"/>
  <c r="S17" i="11"/>
  <c r="S17" i="12" s="1"/>
  <c r="S17" i="13" s="1"/>
  <c r="S12" i="6"/>
  <c r="S15" i="4"/>
  <c r="T49" i="4"/>
  <c r="O49" i="6" s="1"/>
  <c r="T44" i="4"/>
  <c r="O44" i="6" s="1"/>
  <c r="T38" i="4"/>
  <c r="O38" i="6" s="1"/>
  <c r="T33" i="4"/>
  <c r="O33" i="6" s="1"/>
  <c r="T15" i="4"/>
  <c r="K29" i="6"/>
  <c r="K33" i="4"/>
  <c r="R51" i="4"/>
  <c r="E43" i="16"/>
  <c r="E43" i="18" s="1"/>
  <c r="E42" i="16"/>
  <c r="E42" i="18" s="1"/>
  <c r="E41" i="16"/>
  <c r="E41" i="18" s="1"/>
  <c r="H40" i="6"/>
  <c r="C40" i="7" s="1"/>
  <c r="H44" i="4"/>
  <c r="C44" i="6" s="1"/>
  <c r="E40" i="6"/>
  <c r="E44" i="4"/>
  <c r="E36" i="13"/>
  <c r="E35" i="13"/>
  <c r="E34" i="6"/>
  <c r="E38" i="4"/>
  <c r="E39" i="4" s="1"/>
  <c r="H33" i="4"/>
  <c r="C33" i="6" s="1"/>
  <c r="U10" i="4"/>
  <c r="U8" i="4"/>
  <c r="U9" i="4"/>
  <c r="U26" i="4"/>
  <c r="U14" i="4"/>
  <c r="U41" i="4"/>
  <c r="U30" i="4"/>
  <c r="U23" i="4"/>
  <c r="U18" i="4"/>
  <c r="U7" i="4"/>
  <c r="U47" i="4"/>
  <c r="U21" i="4"/>
  <c r="H45" i="4"/>
  <c r="C45" i="6" s="1"/>
  <c r="U48" i="4"/>
  <c r="U46" i="4"/>
  <c r="U40" i="4"/>
  <c r="U43" i="4"/>
  <c r="U42" i="4"/>
  <c r="U34" i="4"/>
  <c r="U37" i="4"/>
  <c r="U36" i="4"/>
  <c r="U35" i="4"/>
  <c r="U32" i="4"/>
  <c r="U31" i="4"/>
  <c r="U29" i="4"/>
  <c r="U27" i="4"/>
  <c r="U22" i="4"/>
  <c r="U20" i="4"/>
  <c r="U16" i="4"/>
  <c r="U17" i="4"/>
  <c r="U13" i="4"/>
  <c r="U12" i="4"/>
  <c r="V15" i="4"/>
  <c r="C48" i="7" l="1"/>
  <c r="H48" i="7" s="1"/>
  <c r="C48" i="9" s="1"/>
  <c r="U48" i="6"/>
  <c r="C10" i="7"/>
  <c r="H10" i="7" s="1"/>
  <c r="C10" i="9" s="1"/>
  <c r="U10" i="6"/>
  <c r="C13" i="7"/>
  <c r="H13" i="7" s="1"/>
  <c r="C13" i="9" s="1"/>
  <c r="U13" i="6"/>
  <c r="C35" i="7"/>
  <c r="H35" i="7" s="1"/>
  <c r="C35" i="9" s="1"/>
  <c r="U35" i="6"/>
  <c r="C9" i="7"/>
  <c r="H9" i="7" s="1"/>
  <c r="C9" i="9" s="1"/>
  <c r="U9" i="6"/>
  <c r="C46" i="7"/>
  <c r="H46" i="7" s="1"/>
  <c r="C46" i="9" s="1"/>
  <c r="U46" i="6"/>
  <c r="C22" i="7"/>
  <c r="H22" i="7" s="1"/>
  <c r="C22" i="9" s="1"/>
  <c r="U22" i="6"/>
  <c r="C31" i="7"/>
  <c r="H31" i="7" s="1"/>
  <c r="C31" i="9" s="1"/>
  <c r="U31" i="6"/>
  <c r="C23" i="7"/>
  <c r="H23" i="7" s="1"/>
  <c r="C23" i="9" s="1"/>
  <c r="U23" i="6"/>
  <c r="C21" i="7"/>
  <c r="H21" i="7" s="1"/>
  <c r="C21" i="9" s="1"/>
  <c r="U21" i="6"/>
  <c r="C43" i="7"/>
  <c r="H43" i="7" s="1"/>
  <c r="C43" i="9" s="1"/>
  <c r="U43" i="6"/>
  <c r="C47" i="7"/>
  <c r="H47" i="7" s="1"/>
  <c r="C47" i="9" s="1"/>
  <c r="U47" i="6"/>
  <c r="O17" i="11"/>
  <c r="T17" i="11" s="1"/>
  <c r="I46" i="11"/>
  <c r="N46" i="11" s="1"/>
  <c r="O9" i="11"/>
  <c r="T9" i="11" s="1"/>
  <c r="C29" i="7"/>
  <c r="H29" i="7" s="1"/>
  <c r="C29" i="9" s="1"/>
  <c r="U29" i="6"/>
  <c r="H33" i="6"/>
  <c r="C33" i="7" s="1"/>
  <c r="I23" i="11"/>
  <c r="N23" i="11" s="1"/>
  <c r="C36" i="7"/>
  <c r="H36" i="7" s="1"/>
  <c r="C36" i="9" s="1"/>
  <c r="U36" i="6"/>
  <c r="O23" i="11"/>
  <c r="T23" i="11" s="1"/>
  <c r="I47" i="11"/>
  <c r="N47" i="11" s="1"/>
  <c r="O42" i="11"/>
  <c r="T42" i="11" s="1"/>
  <c r="I43" i="11"/>
  <c r="N43" i="11" s="1"/>
  <c r="O21" i="12"/>
  <c r="T21" i="12" s="1"/>
  <c r="O21" i="13" s="1"/>
  <c r="T21" i="13" s="1"/>
  <c r="O21" i="16" s="1"/>
  <c r="T21" i="16" s="1"/>
  <c r="C8" i="7"/>
  <c r="H8" i="7" s="1"/>
  <c r="C8" i="9" s="1"/>
  <c r="U8" i="6"/>
  <c r="C42" i="7"/>
  <c r="H42" i="7" s="1"/>
  <c r="C42" i="9" s="1"/>
  <c r="U42" i="6"/>
  <c r="O46" i="11"/>
  <c r="T46" i="11" s="1"/>
  <c r="C30" i="7"/>
  <c r="H30" i="7" s="1"/>
  <c r="C30" i="9" s="1"/>
  <c r="U30" i="6"/>
  <c r="I13" i="11"/>
  <c r="N13" i="11" s="1"/>
  <c r="C14" i="7"/>
  <c r="H14" i="7" s="1"/>
  <c r="C14" i="9" s="1"/>
  <c r="U14" i="6"/>
  <c r="O13" i="11"/>
  <c r="T13" i="11" s="1"/>
  <c r="I14" i="11"/>
  <c r="N14" i="11" s="1"/>
  <c r="O31" i="11"/>
  <c r="T31" i="11" s="1"/>
  <c r="I32" i="11"/>
  <c r="N32" i="11" s="1"/>
  <c r="I32" i="12" s="1"/>
  <c r="N32" i="12" s="1"/>
  <c r="I32" i="13" s="1"/>
  <c r="N32" i="13" s="1"/>
  <c r="I32" i="16" s="1"/>
  <c r="N32" i="16" s="1"/>
  <c r="O10" i="11"/>
  <c r="T10" i="11" s="1"/>
  <c r="I22" i="11"/>
  <c r="N22" i="11" s="1"/>
  <c r="I22" i="12" s="1"/>
  <c r="N22" i="12" s="1"/>
  <c r="I22" i="13" s="1"/>
  <c r="N22" i="13" s="1"/>
  <c r="I22" i="16" s="1"/>
  <c r="N22" i="16" s="1"/>
  <c r="C41" i="7"/>
  <c r="H41" i="7" s="1"/>
  <c r="C41" i="9" s="1"/>
  <c r="U41" i="6"/>
  <c r="C32" i="7"/>
  <c r="H32" i="7" s="1"/>
  <c r="C32" i="9" s="1"/>
  <c r="U32" i="6"/>
  <c r="I21" i="11"/>
  <c r="N21" i="11" s="1"/>
  <c r="O43" i="11"/>
  <c r="T43" i="11" s="1"/>
  <c r="I35" i="11"/>
  <c r="N35" i="11" s="1"/>
  <c r="I42" i="11"/>
  <c r="N42" i="11" s="1"/>
  <c r="O35" i="11"/>
  <c r="T35" i="11" s="1"/>
  <c r="C27" i="7"/>
  <c r="H27" i="7" s="1"/>
  <c r="C27" i="9" s="1"/>
  <c r="U27" i="6"/>
  <c r="C17" i="7"/>
  <c r="H17" i="7" s="1"/>
  <c r="C17" i="9" s="1"/>
  <c r="U17" i="6"/>
  <c r="O32" i="11"/>
  <c r="T32" i="11" s="1"/>
  <c r="C18" i="7"/>
  <c r="H18" i="7" s="1"/>
  <c r="C18" i="9" s="1"/>
  <c r="U18" i="6"/>
  <c r="C37" i="7"/>
  <c r="H37" i="7" s="1"/>
  <c r="C37" i="9" s="1"/>
  <c r="U37" i="6"/>
  <c r="O40" i="9"/>
  <c r="T40" i="9" s="1"/>
  <c r="T44" i="7"/>
  <c r="O44" i="9" s="1"/>
  <c r="U15" i="4"/>
  <c r="O12" i="9"/>
  <c r="T12" i="9" s="1"/>
  <c r="T15" i="7"/>
  <c r="O15" i="9" s="1"/>
  <c r="O38" i="7"/>
  <c r="T49" i="7"/>
  <c r="O45" i="9"/>
  <c r="T45" i="9" s="1"/>
  <c r="I18" i="10"/>
  <c r="N18" i="10" s="1"/>
  <c r="I20" i="7"/>
  <c r="N20" i="7" s="1"/>
  <c r="N24" i="6"/>
  <c r="T28" i="6"/>
  <c r="O28" i="7" s="1"/>
  <c r="O26" i="7"/>
  <c r="T26" i="7" s="1"/>
  <c r="N19" i="7"/>
  <c r="O16" i="7"/>
  <c r="T16" i="7" s="1"/>
  <c r="T19" i="6"/>
  <c r="N33" i="7"/>
  <c r="I33" i="9" s="1"/>
  <c r="I29" i="9"/>
  <c r="N29" i="9" s="1"/>
  <c r="N44" i="7"/>
  <c r="I44" i="9" s="1"/>
  <c r="I40" i="9"/>
  <c r="N40" i="9" s="1"/>
  <c r="O22" i="11"/>
  <c r="T22" i="11" s="1"/>
  <c r="T38" i="7"/>
  <c r="O38" i="9" s="1"/>
  <c r="O34" i="9"/>
  <c r="T34" i="9" s="1"/>
  <c r="O49" i="7"/>
  <c r="T50" i="6"/>
  <c r="I8" i="11"/>
  <c r="N8" i="11" s="1"/>
  <c r="I30" i="11"/>
  <c r="N30" i="11" s="1"/>
  <c r="I41" i="11"/>
  <c r="N41" i="11" s="1"/>
  <c r="O8" i="11"/>
  <c r="T8" i="11" s="1"/>
  <c r="O18" i="11"/>
  <c r="T18" i="11" s="1"/>
  <c r="O30" i="11"/>
  <c r="T30" i="11" s="1"/>
  <c r="O41" i="11"/>
  <c r="T41" i="11" s="1"/>
  <c r="I9" i="11"/>
  <c r="N9" i="11" s="1"/>
  <c r="I31" i="11"/>
  <c r="N31" i="11" s="1"/>
  <c r="O14" i="11"/>
  <c r="T14" i="11" s="1"/>
  <c r="O36" i="11"/>
  <c r="T36" i="11" s="1"/>
  <c r="O47" i="11"/>
  <c r="T47" i="11" s="1"/>
  <c r="I16" i="10"/>
  <c r="N16" i="10" s="1"/>
  <c r="N19" i="9"/>
  <c r="I19" i="10" s="1"/>
  <c r="I27" i="11"/>
  <c r="N27" i="11" s="1"/>
  <c r="I37" i="11"/>
  <c r="N37" i="11" s="1"/>
  <c r="I48" i="11"/>
  <c r="N48" i="11" s="1"/>
  <c r="O27" i="11"/>
  <c r="T27" i="11" s="1"/>
  <c r="O27" i="12" s="1"/>
  <c r="T27" i="12" s="1"/>
  <c r="O27" i="13" s="1"/>
  <c r="T27" i="13" s="1"/>
  <c r="O27" i="16" s="1"/>
  <c r="T27" i="16" s="1"/>
  <c r="O37" i="11"/>
  <c r="T37" i="11" s="1"/>
  <c r="O48" i="11"/>
  <c r="T48" i="11" s="1"/>
  <c r="I17" i="11"/>
  <c r="N17" i="11" s="1"/>
  <c r="I7" i="10"/>
  <c r="N7" i="10" s="1"/>
  <c r="N11" i="9"/>
  <c r="I11" i="10" s="1"/>
  <c r="I36" i="11"/>
  <c r="N36" i="11" s="1"/>
  <c r="I36" i="12" s="1"/>
  <c r="N36" i="12" s="1"/>
  <c r="I36" i="13" s="1"/>
  <c r="N36" i="13" s="1"/>
  <c r="I36" i="16" s="1"/>
  <c r="N36" i="16" s="1"/>
  <c r="T11" i="6"/>
  <c r="O11" i="7" s="1"/>
  <c r="O7" i="7"/>
  <c r="T7" i="7" s="1"/>
  <c r="N28" i="6"/>
  <c r="I28" i="7" s="1"/>
  <c r="I26" i="7"/>
  <c r="N26" i="7" s="1"/>
  <c r="I10" i="10"/>
  <c r="N10" i="10" s="1"/>
  <c r="I38" i="7"/>
  <c r="N49" i="7"/>
  <c r="I45" i="9"/>
  <c r="N45" i="9" s="1"/>
  <c r="N25" i="4"/>
  <c r="I25" i="6" s="1"/>
  <c r="I19" i="6"/>
  <c r="T25" i="4"/>
  <c r="O25" i="6" s="1"/>
  <c r="O15" i="6"/>
  <c r="T33" i="7"/>
  <c r="O33" i="9" s="1"/>
  <c r="O29" i="9"/>
  <c r="T29" i="9" s="1"/>
  <c r="T24" i="7"/>
  <c r="O20" i="9"/>
  <c r="T20" i="9" s="1"/>
  <c r="I12" i="9"/>
  <c r="N12" i="9" s="1"/>
  <c r="N15" i="7"/>
  <c r="I15" i="9" s="1"/>
  <c r="N38" i="7"/>
  <c r="I38" i="9" s="1"/>
  <c r="I34" i="9"/>
  <c r="N34" i="9" s="1"/>
  <c r="I49" i="7"/>
  <c r="N50" i="6"/>
  <c r="I50" i="7" s="1"/>
  <c r="U24" i="4"/>
  <c r="U11" i="4"/>
  <c r="K33" i="6"/>
  <c r="K29" i="7"/>
  <c r="U28" i="4"/>
  <c r="H39" i="4"/>
  <c r="C39" i="6" s="1"/>
  <c r="T39" i="4"/>
  <c r="O39" i="6" s="1"/>
  <c r="S12" i="7"/>
  <c r="S15" i="6"/>
  <c r="S34" i="7"/>
  <c r="S38" i="6"/>
  <c r="S45" i="7"/>
  <c r="S49" i="6"/>
  <c r="Q12" i="7"/>
  <c r="Q15" i="6"/>
  <c r="K18" i="16"/>
  <c r="K18" i="18" s="1"/>
  <c r="H25" i="4"/>
  <c r="C25" i="6" s="1"/>
  <c r="Q20" i="7"/>
  <c r="Q24" i="6"/>
  <c r="M20" i="7"/>
  <c r="M24" i="6"/>
  <c r="K20" i="7"/>
  <c r="K24" i="6"/>
  <c r="H10" i="9"/>
  <c r="C10" i="10" s="1"/>
  <c r="U10" i="7"/>
  <c r="H21" i="9"/>
  <c r="C21" i="10" s="1"/>
  <c r="U21" i="7"/>
  <c r="H32" i="9"/>
  <c r="C32" i="10" s="1"/>
  <c r="U32" i="7"/>
  <c r="C7" i="7"/>
  <c r="H7" i="7" s="1"/>
  <c r="C7" i="9" s="1"/>
  <c r="H11" i="6"/>
  <c r="C11" i="7" s="1"/>
  <c r="U7" i="6"/>
  <c r="U11" i="6" s="1"/>
  <c r="G29" i="9"/>
  <c r="G33" i="7"/>
  <c r="G40" i="7"/>
  <c r="G44" i="6"/>
  <c r="G7" i="7"/>
  <c r="G11" i="6"/>
  <c r="S26" i="7"/>
  <c r="S28" i="6"/>
  <c r="M16" i="9"/>
  <c r="M19" i="7"/>
  <c r="K16" i="9"/>
  <c r="K19" i="7"/>
  <c r="K40" i="7"/>
  <c r="K44" i="6"/>
  <c r="K7" i="7"/>
  <c r="K11" i="6"/>
  <c r="H17" i="9"/>
  <c r="C17" i="10" s="1"/>
  <c r="U17" i="7"/>
  <c r="E45" i="6"/>
  <c r="E49" i="4"/>
  <c r="E50" i="4" s="1"/>
  <c r="E51" i="4" s="1"/>
  <c r="S16" i="7"/>
  <c r="S19" i="6"/>
  <c r="Q16" i="7"/>
  <c r="Q19" i="6"/>
  <c r="Q29" i="7"/>
  <c r="Q33" i="6"/>
  <c r="Q40" i="7"/>
  <c r="Q44" i="6"/>
  <c r="Q7" i="7"/>
  <c r="Q11" i="6"/>
  <c r="M12" i="7"/>
  <c r="M15" i="6"/>
  <c r="M34" i="7"/>
  <c r="M38" i="6"/>
  <c r="M45" i="7"/>
  <c r="M49" i="6"/>
  <c r="K15" i="6"/>
  <c r="K12" i="7"/>
  <c r="H13" i="9"/>
  <c r="C13" i="10" s="1"/>
  <c r="U13" i="7"/>
  <c r="H23" i="9"/>
  <c r="C23" i="10" s="1"/>
  <c r="U23" i="7"/>
  <c r="G25" i="4"/>
  <c r="E25" i="4"/>
  <c r="G32" i="16"/>
  <c r="G32" i="18" s="1"/>
  <c r="S17" i="16"/>
  <c r="S17" i="18" s="1"/>
  <c r="H9" i="9"/>
  <c r="C9" i="10" s="1"/>
  <c r="U9" i="7"/>
  <c r="H20" i="7"/>
  <c r="C20" i="9" s="1"/>
  <c r="U20" i="6"/>
  <c r="U24" i="6" s="1"/>
  <c r="U31" i="7"/>
  <c r="H31" i="9"/>
  <c r="C31" i="10" s="1"/>
  <c r="H48" i="9"/>
  <c r="C48" i="10" s="1"/>
  <c r="U48" i="7"/>
  <c r="G16" i="9"/>
  <c r="G19" i="7"/>
  <c r="E7" i="7"/>
  <c r="E11" i="6"/>
  <c r="E23" i="12"/>
  <c r="E23" i="13" s="1"/>
  <c r="S25" i="4"/>
  <c r="K39" i="4"/>
  <c r="K51" i="4" s="1"/>
  <c r="H29" i="9"/>
  <c r="C29" i="10" s="1"/>
  <c r="U29" i="7"/>
  <c r="H33" i="7"/>
  <c r="C33" i="9" s="1"/>
  <c r="H46" i="9"/>
  <c r="C46" i="10" s="1"/>
  <c r="U46" i="7"/>
  <c r="S21" i="16"/>
  <c r="S21" i="18" s="1"/>
  <c r="Q39" i="4"/>
  <c r="Q51" i="4" s="1"/>
  <c r="N50" i="4"/>
  <c r="I50" i="6" s="1"/>
  <c r="M17" i="16"/>
  <c r="M17" i="18" s="1"/>
  <c r="H24" i="6"/>
  <c r="C24" i="7" s="1"/>
  <c r="U35" i="7"/>
  <c r="H35" i="9"/>
  <c r="C35" i="10" s="1"/>
  <c r="G20" i="7"/>
  <c r="G24" i="6"/>
  <c r="E20" i="9"/>
  <c r="E24" i="7"/>
  <c r="G39" i="4"/>
  <c r="G51" i="4" s="1"/>
  <c r="U45" i="4"/>
  <c r="U49" i="4" s="1"/>
  <c r="H45" i="6"/>
  <c r="C45" i="7" s="1"/>
  <c r="H49" i="4"/>
  <c r="C49" i="6" s="1"/>
  <c r="U19" i="4"/>
  <c r="T50" i="4"/>
  <c r="S29" i="7"/>
  <c r="S33" i="6"/>
  <c r="S40" i="7"/>
  <c r="S44" i="6"/>
  <c r="S7" i="7"/>
  <c r="S11" i="6"/>
  <c r="M35" i="18"/>
  <c r="K36" i="13"/>
  <c r="G21" i="16"/>
  <c r="G21" i="18" s="1"/>
  <c r="Q28" i="6"/>
  <c r="Q26" i="7"/>
  <c r="M26" i="7"/>
  <c r="M28" i="6"/>
  <c r="K26" i="7"/>
  <c r="K28" i="6"/>
  <c r="H16" i="7"/>
  <c r="C16" i="9" s="1"/>
  <c r="H19" i="6"/>
  <c r="C19" i="7" s="1"/>
  <c r="U16" i="6"/>
  <c r="U19" i="6" s="1"/>
  <c r="H27" i="9"/>
  <c r="C27" i="10" s="1"/>
  <c r="U27" i="7"/>
  <c r="H37" i="9"/>
  <c r="C37" i="10" s="1"/>
  <c r="U37" i="7"/>
  <c r="G12" i="7"/>
  <c r="G15" i="6"/>
  <c r="G34" i="7"/>
  <c r="G38" i="6"/>
  <c r="G45" i="7"/>
  <c r="G49" i="6"/>
  <c r="G50" i="6" s="1"/>
  <c r="E12" i="7"/>
  <c r="E15" i="6"/>
  <c r="S20" i="7"/>
  <c r="S24" i="6"/>
  <c r="K34" i="7"/>
  <c r="K38" i="6"/>
  <c r="K49" i="6"/>
  <c r="K45" i="7"/>
  <c r="H12" i="7"/>
  <c r="C12" i="9" s="1"/>
  <c r="U12" i="6"/>
  <c r="U15" i="6" s="1"/>
  <c r="H15" i="6"/>
  <c r="C15" i="7" s="1"/>
  <c r="H22" i="9"/>
  <c r="C22" i="10" s="1"/>
  <c r="U22" i="7"/>
  <c r="H34" i="7"/>
  <c r="C34" i="9" s="1"/>
  <c r="H38" i="6"/>
  <c r="C38" i="7" s="1"/>
  <c r="U34" i="6"/>
  <c r="U38" i="6" s="1"/>
  <c r="G18" i="16"/>
  <c r="G18" i="18" s="1"/>
  <c r="Q34" i="7"/>
  <c r="Q38" i="6"/>
  <c r="Q45" i="7"/>
  <c r="Q49" i="6"/>
  <c r="Q50" i="6" s="1"/>
  <c r="M19" i="6"/>
  <c r="M25" i="6" s="1"/>
  <c r="M29" i="7"/>
  <c r="M33" i="6"/>
  <c r="M40" i="7"/>
  <c r="M44" i="6"/>
  <c r="M7" i="7"/>
  <c r="M11" i="6"/>
  <c r="H8" i="9"/>
  <c r="C8" i="10" s="1"/>
  <c r="U8" i="7"/>
  <c r="H18" i="9"/>
  <c r="C18" i="10" s="1"/>
  <c r="U18" i="7"/>
  <c r="G14" i="18"/>
  <c r="E27" i="12"/>
  <c r="E27" i="13" s="1"/>
  <c r="S39" i="4"/>
  <c r="S50" i="4"/>
  <c r="S51" i="4" s="1"/>
  <c r="M18" i="18"/>
  <c r="H14" i="9"/>
  <c r="C14" i="10" s="1"/>
  <c r="U14" i="7"/>
  <c r="H26" i="7"/>
  <c r="C26" i="9" s="1"/>
  <c r="U26" i="6"/>
  <c r="U28" i="6" s="1"/>
  <c r="H28" i="6"/>
  <c r="C28" i="7" s="1"/>
  <c r="U36" i="7"/>
  <c r="H36" i="9"/>
  <c r="C36" i="10" s="1"/>
  <c r="E19" i="6"/>
  <c r="E25" i="6" s="1"/>
  <c r="E16" i="7"/>
  <c r="Q25" i="4"/>
  <c r="M9" i="18"/>
  <c r="K32" i="16"/>
  <c r="K32" i="18" s="1"/>
  <c r="G17" i="18"/>
  <c r="E29" i="7"/>
  <c r="E33" i="6"/>
  <c r="Q27" i="12"/>
  <c r="Q27" i="13" s="1"/>
  <c r="K19" i="6"/>
  <c r="K27" i="16"/>
  <c r="U33" i="6"/>
  <c r="G19" i="6"/>
  <c r="G25" i="6" s="1"/>
  <c r="N39" i="4"/>
  <c r="M39" i="4"/>
  <c r="M50" i="4"/>
  <c r="M51" i="4" s="1"/>
  <c r="K35" i="18"/>
  <c r="H30" i="9"/>
  <c r="C30" i="10" s="1"/>
  <c r="U30" i="7"/>
  <c r="H47" i="9"/>
  <c r="C47" i="10" s="1"/>
  <c r="U47" i="7"/>
  <c r="G26" i="7"/>
  <c r="G28" i="6"/>
  <c r="E26" i="7"/>
  <c r="E28" i="6"/>
  <c r="U43" i="7"/>
  <c r="H43" i="9"/>
  <c r="C43" i="10" s="1"/>
  <c r="U44" i="4"/>
  <c r="H42" i="9"/>
  <c r="C42" i="10" s="1"/>
  <c r="U42" i="7"/>
  <c r="U41" i="7"/>
  <c r="H41" i="9"/>
  <c r="C41" i="10" s="1"/>
  <c r="E40" i="7"/>
  <c r="E44" i="6"/>
  <c r="H40" i="7"/>
  <c r="C40" i="9" s="1"/>
  <c r="U40" i="6"/>
  <c r="U44" i="6" s="1"/>
  <c r="H44" i="6"/>
  <c r="C44" i="7" s="1"/>
  <c r="U38" i="4"/>
  <c r="E36" i="16"/>
  <c r="E36" i="18" s="1"/>
  <c r="E35" i="16"/>
  <c r="E35" i="18" s="1"/>
  <c r="E34" i="7"/>
  <c r="E38" i="6"/>
  <c r="U33" i="4"/>
  <c r="J54" i="4"/>
  <c r="U50" i="4" l="1"/>
  <c r="H50" i="4"/>
  <c r="C50" i="6" s="1"/>
  <c r="O9" i="12"/>
  <c r="T9" i="12" s="1"/>
  <c r="O9" i="13" s="1"/>
  <c r="T9" i="13" s="1"/>
  <c r="O9" i="16" s="1"/>
  <c r="T9" i="16" s="1"/>
  <c r="I18" i="11"/>
  <c r="N18" i="11" s="1"/>
  <c r="O17" i="12"/>
  <c r="T17" i="12" s="1"/>
  <c r="O17" i="13" s="1"/>
  <c r="T17" i="13" s="1"/>
  <c r="O17" i="16" s="1"/>
  <c r="T17" i="16" s="1"/>
  <c r="O24" i="9"/>
  <c r="I49" i="9"/>
  <c r="N50" i="7"/>
  <c r="I50" i="9" s="1"/>
  <c r="I10" i="11"/>
  <c r="N10" i="11" s="1"/>
  <c r="I7" i="11"/>
  <c r="N7" i="11" s="1"/>
  <c r="N11" i="10"/>
  <c r="I11" i="11" s="1"/>
  <c r="O48" i="12"/>
  <c r="T48" i="12" s="1"/>
  <c r="O48" i="13" s="1"/>
  <c r="T48" i="13" s="1"/>
  <c r="O48" i="16" s="1"/>
  <c r="T48" i="16" s="1"/>
  <c r="O27" i="18"/>
  <c r="T27" i="18" s="1"/>
  <c r="O27" i="19" s="1"/>
  <c r="T27" i="19" s="1"/>
  <c r="O27" i="20" s="1"/>
  <c r="T27" i="20" s="1"/>
  <c r="I37" i="12"/>
  <c r="N37" i="12" s="1"/>
  <c r="I37" i="13" s="1"/>
  <c r="N37" i="13" s="1"/>
  <c r="I37" i="16" s="1"/>
  <c r="N37" i="16" s="1"/>
  <c r="I16" i="11"/>
  <c r="N16" i="11" s="1"/>
  <c r="N19" i="10"/>
  <c r="O36" i="12"/>
  <c r="T36" i="12" s="1"/>
  <c r="O36" i="13" s="1"/>
  <c r="T36" i="13" s="1"/>
  <c r="O36" i="16" s="1"/>
  <c r="T36" i="16" s="1"/>
  <c r="I31" i="12"/>
  <c r="N31" i="12" s="1"/>
  <c r="I31" i="13" s="1"/>
  <c r="N31" i="13" s="1"/>
  <c r="I31" i="16" s="1"/>
  <c r="N31" i="16" s="1"/>
  <c r="O41" i="12"/>
  <c r="T41" i="12" s="1"/>
  <c r="O41" i="13" s="1"/>
  <c r="T41" i="13" s="1"/>
  <c r="O41" i="16" s="1"/>
  <c r="T41" i="16" s="1"/>
  <c r="O18" i="12"/>
  <c r="T18" i="12" s="1"/>
  <c r="O18" i="13" s="1"/>
  <c r="T18" i="13" s="1"/>
  <c r="O18" i="16" s="1"/>
  <c r="T18" i="16" s="1"/>
  <c r="I41" i="12"/>
  <c r="N41" i="12" s="1"/>
  <c r="I41" i="13" s="1"/>
  <c r="N41" i="13" s="1"/>
  <c r="I41" i="16" s="1"/>
  <c r="N41" i="16" s="1"/>
  <c r="I8" i="12"/>
  <c r="N8" i="12" s="1"/>
  <c r="I8" i="13" s="1"/>
  <c r="N8" i="13" s="1"/>
  <c r="I8" i="16" s="1"/>
  <c r="N8" i="16" s="1"/>
  <c r="O16" i="9"/>
  <c r="T16" i="9" s="1"/>
  <c r="T19" i="7"/>
  <c r="O19" i="9" s="1"/>
  <c r="I24" i="7"/>
  <c r="N25" i="6"/>
  <c r="O45" i="10"/>
  <c r="T45" i="10" s="1"/>
  <c r="T49" i="9"/>
  <c r="O40" i="10"/>
  <c r="T40" i="10" s="1"/>
  <c r="T44" i="9"/>
  <c r="O44" i="10" s="1"/>
  <c r="O35" i="12"/>
  <c r="T35" i="12" s="1"/>
  <c r="O35" i="13" s="1"/>
  <c r="T35" i="13" s="1"/>
  <c r="O35" i="16" s="1"/>
  <c r="T35" i="16" s="1"/>
  <c r="I35" i="12"/>
  <c r="N35" i="12" s="1"/>
  <c r="I35" i="13" s="1"/>
  <c r="N35" i="13" s="1"/>
  <c r="I35" i="16" s="1"/>
  <c r="N35" i="16" s="1"/>
  <c r="I21" i="12"/>
  <c r="N21" i="12" s="1"/>
  <c r="I21" i="13" s="1"/>
  <c r="N21" i="13" s="1"/>
  <c r="I21" i="16" s="1"/>
  <c r="N21" i="16" s="1"/>
  <c r="O10" i="12"/>
  <c r="T10" i="12" s="1"/>
  <c r="O10" i="13" s="1"/>
  <c r="T10" i="13" s="1"/>
  <c r="O10" i="16" s="1"/>
  <c r="T10" i="16" s="1"/>
  <c r="O31" i="12"/>
  <c r="T31" i="12" s="1"/>
  <c r="O31" i="13" s="1"/>
  <c r="T31" i="13" s="1"/>
  <c r="O31" i="16" s="1"/>
  <c r="T31" i="16" s="1"/>
  <c r="O13" i="12"/>
  <c r="T13" i="12" s="1"/>
  <c r="O13" i="13" s="1"/>
  <c r="T13" i="13" s="1"/>
  <c r="O13" i="16" s="1"/>
  <c r="T13" i="16" s="1"/>
  <c r="I13" i="12"/>
  <c r="N13" i="12" s="1"/>
  <c r="I13" i="13" s="1"/>
  <c r="N13" i="13" s="1"/>
  <c r="I13" i="16" s="1"/>
  <c r="N13" i="16" s="1"/>
  <c r="O46" i="12"/>
  <c r="T46" i="12" s="1"/>
  <c r="O46" i="13" s="1"/>
  <c r="T46" i="13" s="1"/>
  <c r="O46" i="16" s="1"/>
  <c r="T46" i="16" s="1"/>
  <c r="I43" i="12"/>
  <c r="N43" i="12" s="1"/>
  <c r="I43" i="13" s="1"/>
  <c r="N43" i="13" s="1"/>
  <c r="I43" i="16" s="1"/>
  <c r="N43" i="16" s="1"/>
  <c r="I47" i="12"/>
  <c r="N47" i="12" s="1"/>
  <c r="I47" i="13" s="1"/>
  <c r="N47" i="13" s="1"/>
  <c r="I47" i="16" s="1"/>
  <c r="N47" i="16" s="1"/>
  <c r="T51" i="4"/>
  <c r="O51" i="6" s="1"/>
  <c r="O50" i="6"/>
  <c r="O29" i="10"/>
  <c r="T29" i="10" s="1"/>
  <c r="T33" i="9"/>
  <c r="O33" i="10" s="1"/>
  <c r="N39" i="6"/>
  <c r="I39" i="7" s="1"/>
  <c r="I26" i="9"/>
  <c r="N26" i="9" s="1"/>
  <c r="N28" i="7"/>
  <c r="O50" i="7"/>
  <c r="I29" i="10"/>
  <c r="N29" i="10" s="1"/>
  <c r="N33" i="9"/>
  <c r="I33" i="10" s="1"/>
  <c r="I19" i="9"/>
  <c r="I20" i="9"/>
  <c r="N20" i="9" s="1"/>
  <c r="N24" i="7"/>
  <c r="I24" i="9" s="1"/>
  <c r="O49" i="9"/>
  <c r="T50" i="7"/>
  <c r="O50" i="9" s="1"/>
  <c r="O12" i="10"/>
  <c r="T12" i="10" s="1"/>
  <c r="T15" i="9"/>
  <c r="O15" i="10" s="1"/>
  <c r="I46" i="12"/>
  <c r="N46" i="12" s="1"/>
  <c r="I46" i="13" s="1"/>
  <c r="N46" i="13" s="1"/>
  <c r="I46" i="16" s="1"/>
  <c r="N46" i="16" s="1"/>
  <c r="I12" i="10"/>
  <c r="N12" i="10" s="1"/>
  <c r="N15" i="9"/>
  <c r="I15" i="10" s="1"/>
  <c r="I36" i="18"/>
  <c r="N36" i="18" s="1"/>
  <c r="I36" i="19" s="1"/>
  <c r="I17" i="12"/>
  <c r="N17" i="12" s="1"/>
  <c r="I17" i="13" s="1"/>
  <c r="N17" i="13" s="1"/>
  <c r="I17" i="16" s="1"/>
  <c r="N17" i="16" s="1"/>
  <c r="O37" i="12"/>
  <c r="T37" i="12" s="1"/>
  <c r="O37" i="13" s="1"/>
  <c r="T37" i="13" s="1"/>
  <c r="O37" i="16" s="1"/>
  <c r="T37" i="16" s="1"/>
  <c r="I48" i="12"/>
  <c r="N48" i="12" s="1"/>
  <c r="I48" i="13" s="1"/>
  <c r="N48" i="13" s="1"/>
  <c r="I48" i="16" s="1"/>
  <c r="N48" i="16" s="1"/>
  <c r="I27" i="12"/>
  <c r="N27" i="12" s="1"/>
  <c r="I27" i="13" s="1"/>
  <c r="N27" i="13" s="1"/>
  <c r="I27" i="16" s="1"/>
  <c r="N27" i="16" s="1"/>
  <c r="I27" i="18" s="1"/>
  <c r="N27" i="18" s="1"/>
  <c r="I27" i="19" s="1"/>
  <c r="N27" i="19" s="1"/>
  <c r="I27" i="20" s="1"/>
  <c r="N27" i="20" s="1"/>
  <c r="O47" i="12"/>
  <c r="T47" i="12" s="1"/>
  <c r="O47" i="13" s="1"/>
  <c r="T47" i="13" s="1"/>
  <c r="O47" i="16" s="1"/>
  <c r="T47" i="16" s="1"/>
  <c r="O14" i="12"/>
  <c r="T14" i="12" s="1"/>
  <c r="O14" i="13" s="1"/>
  <c r="T14" i="13" s="1"/>
  <c r="O14" i="16" s="1"/>
  <c r="T14" i="16" s="1"/>
  <c r="I9" i="12"/>
  <c r="N9" i="12" s="1"/>
  <c r="I9" i="13" s="1"/>
  <c r="N9" i="13" s="1"/>
  <c r="I9" i="16" s="1"/>
  <c r="N9" i="16" s="1"/>
  <c r="O30" i="12"/>
  <c r="T30" i="12" s="1"/>
  <c r="O30" i="13" s="1"/>
  <c r="T30" i="13" s="1"/>
  <c r="O30" i="16" s="1"/>
  <c r="T30" i="16" s="1"/>
  <c r="O8" i="12"/>
  <c r="T8" i="12" s="1"/>
  <c r="O8" i="13" s="1"/>
  <c r="T8" i="13" s="1"/>
  <c r="O8" i="16" s="1"/>
  <c r="T8" i="16" s="1"/>
  <c r="I30" i="12"/>
  <c r="N30" i="12" s="1"/>
  <c r="I30" i="13" s="1"/>
  <c r="N30" i="13" s="1"/>
  <c r="I30" i="16" s="1"/>
  <c r="N30" i="16" s="1"/>
  <c r="O22" i="12"/>
  <c r="T22" i="12" s="1"/>
  <c r="O22" i="13" s="1"/>
  <c r="T22" i="13" s="1"/>
  <c r="O22" i="16" s="1"/>
  <c r="T22" i="16" s="1"/>
  <c r="O26" i="9"/>
  <c r="T26" i="9" s="1"/>
  <c r="T28" i="7"/>
  <c r="O32" i="12"/>
  <c r="T32" i="12" s="1"/>
  <c r="O32" i="13" s="1"/>
  <c r="T32" i="13" s="1"/>
  <c r="O32" i="16" s="1"/>
  <c r="T32" i="16" s="1"/>
  <c r="I42" i="12"/>
  <c r="N42" i="12" s="1"/>
  <c r="I42" i="13" s="1"/>
  <c r="N42" i="13" s="1"/>
  <c r="I42" i="16" s="1"/>
  <c r="N42" i="16" s="1"/>
  <c r="O43" i="12"/>
  <c r="T43" i="12" s="1"/>
  <c r="O43" i="13" s="1"/>
  <c r="T43" i="13" s="1"/>
  <c r="O43" i="16" s="1"/>
  <c r="T43" i="16" s="1"/>
  <c r="I22" i="18"/>
  <c r="N22" i="18" s="1"/>
  <c r="I22" i="19" s="1"/>
  <c r="N22" i="19" s="1"/>
  <c r="I22" i="20" s="1"/>
  <c r="N22" i="20" s="1"/>
  <c r="I32" i="18"/>
  <c r="N32" i="18" s="1"/>
  <c r="I32" i="19" s="1"/>
  <c r="N32" i="19" s="1"/>
  <c r="I32" i="20" s="1"/>
  <c r="N32" i="20" s="1"/>
  <c r="I14" i="12"/>
  <c r="N14" i="12" s="1"/>
  <c r="I14" i="13" s="1"/>
  <c r="N14" i="13" s="1"/>
  <c r="I14" i="16" s="1"/>
  <c r="N14" i="16" s="1"/>
  <c r="O21" i="18"/>
  <c r="T21" i="18" s="1"/>
  <c r="O21" i="19" s="1"/>
  <c r="T21" i="19" s="1"/>
  <c r="O21" i="20" s="1"/>
  <c r="T21" i="20" s="1"/>
  <c r="O42" i="12"/>
  <c r="T42" i="12" s="1"/>
  <c r="O42" i="13" s="1"/>
  <c r="T42" i="13" s="1"/>
  <c r="O42" i="16" s="1"/>
  <c r="T42" i="16" s="1"/>
  <c r="O23" i="12"/>
  <c r="T23" i="12" s="1"/>
  <c r="O23" i="13" s="1"/>
  <c r="T23" i="13" s="1"/>
  <c r="O23" i="16" s="1"/>
  <c r="T23" i="16" s="1"/>
  <c r="I23" i="12"/>
  <c r="N23" i="12" s="1"/>
  <c r="I23" i="13" s="1"/>
  <c r="N23" i="13" s="1"/>
  <c r="I23" i="16" s="1"/>
  <c r="N23" i="16" s="1"/>
  <c r="N51" i="4"/>
  <c r="I51" i="6" s="1"/>
  <c r="I39" i="6"/>
  <c r="I34" i="10"/>
  <c r="N34" i="10" s="1"/>
  <c r="N38" i="9"/>
  <c r="O20" i="10"/>
  <c r="T20" i="10" s="1"/>
  <c r="T24" i="9"/>
  <c r="I45" i="10"/>
  <c r="N45" i="10" s="1"/>
  <c r="N49" i="9"/>
  <c r="O7" i="9"/>
  <c r="T7" i="9" s="1"/>
  <c r="T11" i="7"/>
  <c r="O11" i="9" s="1"/>
  <c r="O34" i="10"/>
  <c r="T34" i="10" s="1"/>
  <c r="T38" i="9"/>
  <c r="I40" i="10"/>
  <c r="N40" i="10" s="1"/>
  <c r="N44" i="9"/>
  <c r="I44" i="10" s="1"/>
  <c r="T25" i="6"/>
  <c r="O25" i="7" s="1"/>
  <c r="O19" i="7"/>
  <c r="T39" i="6"/>
  <c r="O39" i="7" s="1"/>
  <c r="U25" i="4"/>
  <c r="K50" i="6"/>
  <c r="E39" i="6"/>
  <c r="U39" i="6"/>
  <c r="J55" i="4"/>
  <c r="U39" i="4"/>
  <c r="K27" i="18"/>
  <c r="Q27" i="16"/>
  <c r="Q27" i="18" s="1"/>
  <c r="E27" i="16"/>
  <c r="E27" i="18" s="1"/>
  <c r="Q45" i="9"/>
  <c r="Q49" i="7"/>
  <c r="H12" i="9"/>
  <c r="C12" i="10" s="1"/>
  <c r="U12" i="7"/>
  <c r="U15" i="7" s="1"/>
  <c r="H15" i="7"/>
  <c r="C15" i="9" s="1"/>
  <c r="K34" i="9"/>
  <c r="K38" i="7"/>
  <c r="S20" i="9"/>
  <c r="S24" i="7"/>
  <c r="E12" i="9"/>
  <c r="E15" i="7"/>
  <c r="G34" i="9"/>
  <c r="G38" i="7"/>
  <c r="H37" i="10"/>
  <c r="C37" i="11" s="1"/>
  <c r="U37" i="9"/>
  <c r="H25" i="6"/>
  <c r="C25" i="7" s="1"/>
  <c r="H29" i="10"/>
  <c r="C29" i="11" s="1"/>
  <c r="U29" i="9"/>
  <c r="H33" i="9"/>
  <c r="C33" i="10" s="1"/>
  <c r="E23" i="16"/>
  <c r="E23" i="18" s="1"/>
  <c r="H48" i="10"/>
  <c r="C48" i="11" s="1"/>
  <c r="U48" i="9"/>
  <c r="H20" i="9"/>
  <c r="C20" i="10" s="1"/>
  <c r="H24" i="7"/>
  <c r="C24" i="9" s="1"/>
  <c r="U20" i="7"/>
  <c r="U24" i="7" s="1"/>
  <c r="M50" i="6"/>
  <c r="Q25" i="6"/>
  <c r="H32" i="10"/>
  <c r="C32" i="11" s="1"/>
  <c r="U32" i="9"/>
  <c r="H10" i="10"/>
  <c r="C10" i="11" s="1"/>
  <c r="U10" i="9"/>
  <c r="M20" i="9"/>
  <c r="M24" i="7"/>
  <c r="S39" i="6"/>
  <c r="E26" i="9"/>
  <c r="E28" i="7"/>
  <c r="H47" i="10"/>
  <c r="C47" i="11" s="1"/>
  <c r="U47" i="9"/>
  <c r="H36" i="10"/>
  <c r="C36" i="11" s="1"/>
  <c r="U36" i="9"/>
  <c r="H26" i="9"/>
  <c r="C26" i="10" s="1"/>
  <c r="U26" i="7"/>
  <c r="U28" i="7" s="1"/>
  <c r="H28" i="7"/>
  <c r="C28" i="9" s="1"/>
  <c r="H18" i="10"/>
  <c r="C18" i="11" s="1"/>
  <c r="U18" i="9"/>
  <c r="M7" i="9"/>
  <c r="M11" i="7"/>
  <c r="M29" i="9"/>
  <c r="M33" i="7"/>
  <c r="H22" i="10"/>
  <c r="C22" i="11" s="1"/>
  <c r="U22" i="9"/>
  <c r="K49" i="7"/>
  <c r="K45" i="9"/>
  <c r="H16" i="9"/>
  <c r="C16" i="10" s="1"/>
  <c r="H19" i="7"/>
  <c r="C19" i="9" s="1"/>
  <c r="U16" i="7"/>
  <c r="U19" i="7" s="1"/>
  <c r="M26" i="9"/>
  <c r="M28" i="7"/>
  <c r="S7" i="9"/>
  <c r="S11" i="7"/>
  <c r="S29" i="9"/>
  <c r="S33" i="7"/>
  <c r="H49" i="6"/>
  <c r="C49" i="7" s="1"/>
  <c r="H45" i="7"/>
  <c r="C45" i="9" s="1"/>
  <c r="U45" i="6"/>
  <c r="U49" i="6" s="1"/>
  <c r="U50" i="6" s="1"/>
  <c r="E20" i="10"/>
  <c r="E24" i="9"/>
  <c r="H35" i="10"/>
  <c r="C35" i="11" s="1"/>
  <c r="U35" i="9"/>
  <c r="H46" i="10"/>
  <c r="C46" i="11" s="1"/>
  <c r="U46" i="9"/>
  <c r="H31" i="10"/>
  <c r="C31" i="11" s="1"/>
  <c r="U31" i="9"/>
  <c r="H13" i="10"/>
  <c r="C13" i="11" s="1"/>
  <c r="U13" i="9"/>
  <c r="M45" i="9"/>
  <c r="M49" i="7"/>
  <c r="M12" i="9"/>
  <c r="M15" i="7"/>
  <c r="Q40" i="9"/>
  <c r="Q44" i="7"/>
  <c r="Q16" i="9"/>
  <c r="Q19" i="7"/>
  <c r="E45" i="7"/>
  <c r="E49" i="6"/>
  <c r="E50" i="6" s="1"/>
  <c r="E51" i="6" s="1"/>
  <c r="K7" i="9"/>
  <c r="K11" i="7"/>
  <c r="K16" i="10"/>
  <c r="K19" i="9"/>
  <c r="S26" i="9"/>
  <c r="S28" i="7"/>
  <c r="G40" i="9"/>
  <c r="G44" i="7"/>
  <c r="K25" i="6"/>
  <c r="Q12" i="9"/>
  <c r="Q15" i="7"/>
  <c r="S34" i="9"/>
  <c r="S38" i="7"/>
  <c r="K29" i="9"/>
  <c r="K33" i="7"/>
  <c r="Q34" i="9"/>
  <c r="Q38" i="7"/>
  <c r="H39" i="6"/>
  <c r="C39" i="7" s="1"/>
  <c r="G45" i="9"/>
  <c r="G49" i="7"/>
  <c r="G12" i="9"/>
  <c r="G15" i="7"/>
  <c r="H27" i="10"/>
  <c r="C27" i="11" s="1"/>
  <c r="U27" i="9"/>
  <c r="K39" i="6"/>
  <c r="Q26" i="9"/>
  <c r="Q28" i="7"/>
  <c r="G16" i="10"/>
  <c r="G19" i="9"/>
  <c r="H9" i="10"/>
  <c r="C9" i="11" s="1"/>
  <c r="U9" i="9"/>
  <c r="K12" i="9"/>
  <c r="K15" i="7"/>
  <c r="M39" i="6"/>
  <c r="M51" i="6" s="1"/>
  <c r="S25" i="6"/>
  <c r="H7" i="9"/>
  <c r="C7" i="10" s="1"/>
  <c r="U7" i="7"/>
  <c r="U11" i="7" s="1"/>
  <c r="H11" i="7"/>
  <c r="C11" i="9" s="1"/>
  <c r="H21" i="10"/>
  <c r="C21" i="11" s="1"/>
  <c r="U21" i="9"/>
  <c r="K20" i="9"/>
  <c r="K24" i="7"/>
  <c r="Q20" i="9"/>
  <c r="Q24" i="7"/>
  <c r="S50" i="6"/>
  <c r="G26" i="9"/>
  <c r="G28" i="7"/>
  <c r="H30" i="10"/>
  <c r="C30" i="11" s="1"/>
  <c r="U30" i="9"/>
  <c r="E29" i="9"/>
  <c r="E33" i="7"/>
  <c r="E19" i="7"/>
  <c r="E16" i="9"/>
  <c r="H14" i="10"/>
  <c r="C14" i="11" s="1"/>
  <c r="U14" i="9"/>
  <c r="H8" i="10"/>
  <c r="C8" i="11" s="1"/>
  <c r="U8" i="9"/>
  <c r="M40" i="9"/>
  <c r="M44" i="7"/>
  <c r="H34" i="9"/>
  <c r="C34" i="10" s="1"/>
  <c r="U34" i="7"/>
  <c r="U38" i="7" s="1"/>
  <c r="H38" i="7"/>
  <c r="C38" i="9" s="1"/>
  <c r="G39" i="6"/>
  <c r="G51" i="6" s="1"/>
  <c r="K26" i="9"/>
  <c r="K28" i="7"/>
  <c r="Q39" i="6"/>
  <c r="K36" i="16"/>
  <c r="K36" i="18" s="1"/>
  <c r="S40" i="9"/>
  <c r="S44" i="7"/>
  <c r="G20" i="9"/>
  <c r="G24" i="7"/>
  <c r="U33" i="7"/>
  <c r="E7" i="9"/>
  <c r="E11" i="7"/>
  <c r="U25" i="6"/>
  <c r="H23" i="10"/>
  <c r="C23" i="11" s="1"/>
  <c r="U23" i="9"/>
  <c r="M34" i="9"/>
  <c r="M38" i="7"/>
  <c r="Q7" i="9"/>
  <c r="Q11" i="7"/>
  <c r="Q29" i="9"/>
  <c r="Q33" i="7"/>
  <c r="S19" i="7"/>
  <c r="S16" i="9"/>
  <c r="H17" i="10"/>
  <c r="C17" i="11" s="1"/>
  <c r="U17" i="9"/>
  <c r="K40" i="9"/>
  <c r="K44" i="7"/>
  <c r="M16" i="10"/>
  <c r="M19" i="9"/>
  <c r="G7" i="9"/>
  <c r="G11" i="7"/>
  <c r="G29" i="10"/>
  <c r="G33" i="9"/>
  <c r="S45" i="9"/>
  <c r="S49" i="7"/>
  <c r="S12" i="9"/>
  <c r="S15" i="7"/>
  <c r="U51" i="4"/>
  <c r="H43" i="10"/>
  <c r="C43" i="11" s="1"/>
  <c r="U43" i="9"/>
  <c r="H42" i="10"/>
  <c r="C42" i="11" s="1"/>
  <c r="U42" i="9"/>
  <c r="H41" i="10"/>
  <c r="C41" i="11" s="1"/>
  <c r="U41" i="9"/>
  <c r="H51" i="4"/>
  <c r="C51" i="6" s="1"/>
  <c r="H40" i="9"/>
  <c r="C40" i="10" s="1"/>
  <c r="U40" i="7"/>
  <c r="U44" i="7" s="1"/>
  <c r="H44" i="7"/>
  <c r="C44" i="9" s="1"/>
  <c r="E40" i="9"/>
  <c r="E44" i="7"/>
  <c r="E34" i="9"/>
  <c r="E38" i="7"/>
  <c r="E39" i="7" s="1"/>
  <c r="N57" i="4"/>
  <c r="N36" i="19" l="1"/>
  <c r="I36" i="20" s="1"/>
  <c r="N36" i="20" s="1"/>
  <c r="H50" i="6"/>
  <c r="C50" i="7" s="1"/>
  <c r="N25" i="7"/>
  <c r="O32" i="18"/>
  <c r="T32" i="18" s="1"/>
  <c r="O32" i="19" s="1"/>
  <c r="T32" i="19" s="1"/>
  <c r="O32" i="20" s="1"/>
  <c r="T32" i="20" s="1"/>
  <c r="I47" i="18"/>
  <c r="N47" i="18" s="1"/>
  <c r="I47" i="19" s="1"/>
  <c r="N47" i="19" s="1"/>
  <c r="I47" i="20" s="1"/>
  <c r="N47" i="20" s="1"/>
  <c r="O43" i="18"/>
  <c r="T43" i="18" s="1"/>
  <c r="O43" i="19" s="1"/>
  <c r="T43" i="19" s="1"/>
  <c r="O43" i="20" s="1"/>
  <c r="T43" i="20" s="1"/>
  <c r="O30" i="18"/>
  <c r="T30" i="18" s="1"/>
  <c r="O30" i="19" s="1"/>
  <c r="T30" i="19" s="1"/>
  <c r="O30" i="20" s="1"/>
  <c r="T30" i="20" s="1"/>
  <c r="O13" i="18"/>
  <c r="T13" i="18" s="1"/>
  <c r="O13" i="19" s="1"/>
  <c r="T13" i="19" s="1"/>
  <c r="O13" i="20" s="1"/>
  <c r="T13" i="20" s="1"/>
  <c r="O18" i="18"/>
  <c r="T18" i="18" s="1"/>
  <c r="O18" i="19" s="1"/>
  <c r="T18" i="19" s="1"/>
  <c r="O18" i="20" s="1"/>
  <c r="T18" i="20" s="1"/>
  <c r="O17" i="18"/>
  <c r="T17" i="18" s="1"/>
  <c r="O17" i="19" s="1"/>
  <c r="T17" i="19" s="1"/>
  <c r="O17" i="20" s="1"/>
  <c r="T17" i="20" s="1"/>
  <c r="O37" i="18"/>
  <c r="T37" i="18" s="1"/>
  <c r="O37" i="19" s="1"/>
  <c r="T37" i="19" s="1"/>
  <c r="O37" i="20" s="1"/>
  <c r="T37" i="20" s="1"/>
  <c r="I23" i="18"/>
  <c r="N23" i="18" s="1"/>
  <c r="I23" i="19" s="1"/>
  <c r="N23" i="19" s="1"/>
  <c r="I23" i="20" s="1"/>
  <c r="N23" i="20" s="1"/>
  <c r="I14" i="18"/>
  <c r="N14" i="18" s="1"/>
  <c r="I14" i="19" s="1"/>
  <c r="N14" i="19" s="1"/>
  <c r="I14" i="20" s="1"/>
  <c r="N14" i="20" s="1"/>
  <c r="I42" i="18"/>
  <c r="N42" i="18" s="1"/>
  <c r="I42" i="19" s="1"/>
  <c r="N42" i="19" s="1"/>
  <c r="I42" i="20" s="1"/>
  <c r="N42" i="20" s="1"/>
  <c r="O22" i="18"/>
  <c r="T22" i="18" s="1"/>
  <c r="O22" i="19" s="1"/>
  <c r="T22" i="19" s="1"/>
  <c r="O22" i="20" s="1"/>
  <c r="T22" i="20" s="1"/>
  <c r="I9" i="18"/>
  <c r="N9" i="18" s="1"/>
  <c r="I9" i="19" s="1"/>
  <c r="N9" i="19" s="1"/>
  <c r="I9" i="20" s="1"/>
  <c r="N9" i="20" s="1"/>
  <c r="I48" i="18"/>
  <c r="N48" i="18" s="1"/>
  <c r="I48" i="19" s="1"/>
  <c r="N48" i="19" s="1"/>
  <c r="I48" i="20" s="1"/>
  <c r="N48" i="20" s="1"/>
  <c r="O46" i="18"/>
  <c r="T46" i="18" s="1"/>
  <c r="O46" i="19" s="1"/>
  <c r="T46" i="19" s="1"/>
  <c r="O46" i="20" s="1"/>
  <c r="T46" i="20" s="1"/>
  <c r="I8" i="18"/>
  <c r="N8" i="18" s="1"/>
  <c r="I8" i="19" s="1"/>
  <c r="N8" i="19" s="1"/>
  <c r="I8" i="20" s="1"/>
  <c r="N8" i="20" s="1"/>
  <c r="O14" i="18"/>
  <c r="T14" i="18" s="1"/>
  <c r="O14" i="19" s="1"/>
  <c r="T14" i="19" s="1"/>
  <c r="O14" i="20" s="1"/>
  <c r="T14" i="20" s="1"/>
  <c r="O23" i="18"/>
  <c r="T23" i="18" s="1"/>
  <c r="O23" i="19" s="1"/>
  <c r="T23" i="19" s="1"/>
  <c r="O23" i="20" s="1"/>
  <c r="T23" i="20" s="1"/>
  <c r="I30" i="18"/>
  <c r="N30" i="18" s="1"/>
  <c r="I30" i="19" s="1"/>
  <c r="I35" i="18"/>
  <c r="N35" i="18" s="1"/>
  <c r="I35" i="19" s="1"/>
  <c r="N35" i="19" s="1"/>
  <c r="I35" i="20" s="1"/>
  <c r="N35" i="20" s="1"/>
  <c r="O42" i="18"/>
  <c r="T42" i="18" s="1"/>
  <c r="O42" i="19" s="1"/>
  <c r="T42" i="19" s="1"/>
  <c r="O42" i="20" s="1"/>
  <c r="T42" i="20" s="1"/>
  <c r="O8" i="18"/>
  <c r="T8" i="18" s="1"/>
  <c r="O8" i="19" s="1"/>
  <c r="O47" i="18"/>
  <c r="T47" i="18" s="1"/>
  <c r="O47" i="19" s="1"/>
  <c r="T47" i="19" s="1"/>
  <c r="O47" i="20" s="1"/>
  <c r="T47" i="20" s="1"/>
  <c r="I17" i="18"/>
  <c r="N17" i="18" s="1"/>
  <c r="I17" i="19" s="1"/>
  <c r="N17" i="19" s="1"/>
  <c r="I17" i="20" s="1"/>
  <c r="N17" i="20" s="1"/>
  <c r="I46" i="18"/>
  <c r="N46" i="18" s="1"/>
  <c r="I46" i="19" s="1"/>
  <c r="O10" i="18"/>
  <c r="T10" i="18" s="1"/>
  <c r="O10" i="19" s="1"/>
  <c r="T10" i="19" s="1"/>
  <c r="O10" i="20" s="1"/>
  <c r="T10" i="20" s="1"/>
  <c r="I31" i="18"/>
  <c r="N31" i="18" s="1"/>
  <c r="I31" i="19" s="1"/>
  <c r="N31" i="19" s="1"/>
  <c r="I31" i="20" s="1"/>
  <c r="N31" i="20" s="1"/>
  <c r="O9" i="18"/>
  <c r="T9" i="18" s="1"/>
  <c r="O9" i="19" s="1"/>
  <c r="T9" i="19" s="1"/>
  <c r="O9" i="20" s="1"/>
  <c r="T9" i="20" s="1"/>
  <c r="I40" i="11"/>
  <c r="N40" i="11" s="1"/>
  <c r="N44" i="10"/>
  <c r="I44" i="11" s="1"/>
  <c r="O7" i="10"/>
  <c r="T7" i="10" s="1"/>
  <c r="T11" i="9"/>
  <c r="O11" i="10" s="1"/>
  <c r="O20" i="11"/>
  <c r="T20" i="11" s="1"/>
  <c r="T24" i="10"/>
  <c r="I12" i="11"/>
  <c r="N12" i="11" s="1"/>
  <c r="N15" i="10"/>
  <c r="I15" i="11" s="1"/>
  <c r="O12" i="11"/>
  <c r="T12" i="11" s="1"/>
  <c r="T15" i="10"/>
  <c r="O15" i="11" s="1"/>
  <c r="I20" i="10"/>
  <c r="N20" i="10" s="1"/>
  <c r="N24" i="9"/>
  <c r="I29" i="11"/>
  <c r="N29" i="11" s="1"/>
  <c r="N33" i="10"/>
  <c r="I33" i="11" s="1"/>
  <c r="I26" i="10"/>
  <c r="N26" i="10" s="1"/>
  <c r="N28" i="9"/>
  <c r="I28" i="10" s="1"/>
  <c r="T50" i="9"/>
  <c r="O50" i="10" s="1"/>
  <c r="O49" i="10"/>
  <c r="T25" i="7"/>
  <c r="O38" i="10"/>
  <c r="I49" i="10"/>
  <c r="N50" i="9"/>
  <c r="I50" i="10" s="1"/>
  <c r="I38" i="10"/>
  <c r="N39" i="9"/>
  <c r="I39" i="10" s="1"/>
  <c r="T39" i="7"/>
  <c r="O39" i="9" s="1"/>
  <c r="O28" i="9"/>
  <c r="T51" i="6"/>
  <c r="O51" i="7" s="1"/>
  <c r="I43" i="18"/>
  <c r="N43" i="18" s="1"/>
  <c r="I43" i="19" s="1"/>
  <c r="N43" i="19" s="1"/>
  <c r="I43" i="20" s="1"/>
  <c r="N43" i="20" s="1"/>
  <c r="I13" i="18"/>
  <c r="N13" i="18" s="1"/>
  <c r="I13" i="19" s="1"/>
  <c r="N13" i="19" s="1"/>
  <c r="I13" i="20" s="1"/>
  <c r="N13" i="20" s="1"/>
  <c r="O31" i="18"/>
  <c r="T31" i="18" s="1"/>
  <c r="O31" i="19" s="1"/>
  <c r="T31" i="19" s="1"/>
  <c r="O31" i="20" s="1"/>
  <c r="T31" i="20" s="1"/>
  <c r="I21" i="18"/>
  <c r="N21" i="18" s="1"/>
  <c r="I21" i="19" s="1"/>
  <c r="N21" i="19" s="1"/>
  <c r="I21" i="20" s="1"/>
  <c r="N21" i="20" s="1"/>
  <c r="O35" i="18"/>
  <c r="T35" i="18" s="1"/>
  <c r="O35" i="19" s="1"/>
  <c r="T35" i="19" s="1"/>
  <c r="O35" i="20" s="1"/>
  <c r="T35" i="20" s="1"/>
  <c r="O45" i="11"/>
  <c r="T45" i="11" s="1"/>
  <c r="T49" i="10"/>
  <c r="O16" i="10"/>
  <c r="T16" i="10" s="1"/>
  <c r="T19" i="9"/>
  <c r="O19" i="10" s="1"/>
  <c r="I41" i="18"/>
  <c r="N41" i="18" s="1"/>
  <c r="I41" i="19" s="1"/>
  <c r="N41" i="19" s="1"/>
  <c r="I41" i="20" s="1"/>
  <c r="N41" i="20" s="1"/>
  <c r="O41" i="18"/>
  <c r="T41" i="18" s="1"/>
  <c r="O41" i="19" s="1"/>
  <c r="T41" i="19" s="1"/>
  <c r="O41" i="20" s="1"/>
  <c r="T41" i="20" s="1"/>
  <c r="O36" i="18"/>
  <c r="T36" i="18" s="1"/>
  <c r="O36" i="19" s="1"/>
  <c r="T36" i="19" s="1"/>
  <c r="O36" i="20" s="1"/>
  <c r="T36" i="20" s="1"/>
  <c r="I37" i="18"/>
  <c r="N37" i="18" s="1"/>
  <c r="I37" i="19" s="1"/>
  <c r="N37" i="19" s="1"/>
  <c r="I37" i="20" s="1"/>
  <c r="N37" i="20" s="1"/>
  <c r="O48" i="18"/>
  <c r="T48" i="18" s="1"/>
  <c r="O48" i="19" s="1"/>
  <c r="T48" i="19" s="1"/>
  <c r="O48" i="20" s="1"/>
  <c r="T48" i="20" s="1"/>
  <c r="I10" i="12"/>
  <c r="N10" i="12" s="1"/>
  <c r="I10" i="13" s="1"/>
  <c r="N10" i="13" s="1"/>
  <c r="I10" i="16" s="1"/>
  <c r="N10" i="16" s="1"/>
  <c r="I18" i="12"/>
  <c r="N18" i="12" s="1"/>
  <c r="I18" i="13" s="1"/>
  <c r="N18" i="13" s="1"/>
  <c r="I18" i="16" s="1"/>
  <c r="N18" i="16" s="1"/>
  <c r="O34" i="11"/>
  <c r="T34" i="11" s="1"/>
  <c r="T38" i="10"/>
  <c r="I45" i="11"/>
  <c r="N45" i="11" s="1"/>
  <c r="N49" i="10"/>
  <c r="I34" i="11"/>
  <c r="N34" i="11" s="1"/>
  <c r="N38" i="10"/>
  <c r="O26" i="10"/>
  <c r="T26" i="10" s="1"/>
  <c r="T28" i="9"/>
  <c r="O28" i="10" s="1"/>
  <c r="I25" i="9"/>
  <c r="N51" i="6"/>
  <c r="I51" i="7" s="1"/>
  <c r="I25" i="7"/>
  <c r="I19" i="11"/>
  <c r="O24" i="10"/>
  <c r="N39" i="7"/>
  <c r="I39" i="9" s="1"/>
  <c r="I28" i="9"/>
  <c r="O29" i="11"/>
  <c r="T29" i="11" s="1"/>
  <c r="T33" i="10"/>
  <c r="O33" i="11" s="1"/>
  <c r="O40" i="11"/>
  <c r="T40" i="11" s="1"/>
  <c r="T44" i="10"/>
  <c r="O44" i="11" s="1"/>
  <c r="I16" i="12"/>
  <c r="N16" i="12" s="1"/>
  <c r="N19" i="11"/>
  <c r="I7" i="12"/>
  <c r="N7" i="12" s="1"/>
  <c r="N11" i="11"/>
  <c r="I11" i="12" s="1"/>
  <c r="G50" i="7"/>
  <c r="S39" i="7"/>
  <c r="M39" i="7"/>
  <c r="K25" i="7"/>
  <c r="S50" i="7"/>
  <c r="E25" i="7"/>
  <c r="U51" i="6"/>
  <c r="H8" i="11"/>
  <c r="C8" i="12" s="1"/>
  <c r="U8" i="10"/>
  <c r="H9" i="11"/>
  <c r="C9" i="12" s="1"/>
  <c r="U9" i="10"/>
  <c r="H30" i="11"/>
  <c r="C30" i="12" s="1"/>
  <c r="U30" i="10"/>
  <c r="H31" i="11"/>
  <c r="C31" i="12" s="1"/>
  <c r="U31" i="10"/>
  <c r="H48" i="11"/>
  <c r="C48" i="12" s="1"/>
  <c r="U48" i="10"/>
  <c r="H32" i="11"/>
  <c r="C32" i="12" s="1"/>
  <c r="U32" i="10"/>
  <c r="H23" i="11"/>
  <c r="C23" i="12" s="1"/>
  <c r="U23" i="10"/>
  <c r="H27" i="11"/>
  <c r="C27" i="12" s="1"/>
  <c r="U27" i="10"/>
  <c r="H46" i="11"/>
  <c r="C46" i="12" s="1"/>
  <c r="U46" i="10"/>
  <c r="H18" i="11"/>
  <c r="C18" i="12" s="1"/>
  <c r="U18" i="10"/>
  <c r="S45" i="10"/>
  <c r="S49" i="9"/>
  <c r="G7" i="10"/>
  <c r="G11" i="9"/>
  <c r="K40" i="10"/>
  <c r="K44" i="9"/>
  <c r="S16" i="10"/>
  <c r="S19" i="9"/>
  <c r="G20" i="10"/>
  <c r="G24" i="9"/>
  <c r="E19" i="9"/>
  <c r="E16" i="10"/>
  <c r="G26" i="10"/>
  <c r="G28" i="9"/>
  <c r="Q20" i="10"/>
  <c r="Q24" i="9"/>
  <c r="H21" i="11"/>
  <c r="C21" i="12" s="1"/>
  <c r="U21" i="10"/>
  <c r="S51" i="6"/>
  <c r="G19" i="10"/>
  <c r="G16" i="11"/>
  <c r="G12" i="10"/>
  <c r="G15" i="9"/>
  <c r="S34" i="10"/>
  <c r="S38" i="9"/>
  <c r="M50" i="7"/>
  <c r="H13" i="11"/>
  <c r="C13" i="12" s="1"/>
  <c r="U13" i="10"/>
  <c r="S29" i="10"/>
  <c r="S33" i="9"/>
  <c r="M26" i="10"/>
  <c r="M28" i="9"/>
  <c r="K45" i="10"/>
  <c r="K49" i="9"/>
  <c r="K50" i="9" s="1"/>
  <c r="H22" i="11"/>
  <c r="C22" i="12" s="1"/>
  <c r="U22" i="10"/>
  <c r="M7" i="10"/>
  <c r="M11" i="9"/>
  <c r="H47" i="11"/>
  <c r="C47" i="12" s="1"/>
  <c r="U47" i="10"/>
  <c r="M25" i="7"/>
  <c r="H10" i="11"/>
  <c r="C10" i="12" s="1"/>
  <c r="U10" i="10"/>
  <c r="Q51" i="6"/>
  <c r="H20" i="10"/>
  <c r="C20" i="11" s="1"/>
  <c r="H24" i="9"/>
  <c r="C24" i="10" s="1"/>
  <c r="U20" i="9"/>
  <c r="U24" i="9" s="1"/>
  <c r="H29" i="11"/>
  <c r="C29" i="12" s="1"/>
  <c r="U29" i="10"/>
  <c r="H33" i="10"/>
  <c r="C33" i="11" s="1"/>
  <c r="K39" i="7"/>
  <c r="H12" i="10"/>
  <c r="C12" i="11" s="1"/>
  <c r="H15" i="9"/>
  <c r="C15" i="10" s="1"/>
  <c r="U12" i="9"/>
  <c r="U15" i="9" s="1"/>
  <c r="S25" i="7"/>
  <c r="S51" i="7" s="1"/>
  <c r="Q7" i="10"/>
  <c r="Q11" i="9"/>
  <c r="E7" i="10"/>
  <c r="E11" i="9"/>
  <c r="H39" i="7"/>
  <c r="C39" i="9" s="1"/>
  <c r="M40" i="10"/>
  <c r="M44" i="9"/>
  <c r="Q39" i="7"/>
  <c r="G40" i="10"/>
  <c r="G44" i="9"/>
  <c r="K16" i="11"/>
  <c r="K19" i="10"/>
  <c r="E45" i="9"/>
  <c r="E49" i="7"/>
  <c r="E50" i="7" s="1"/>
  <c r="Q40" i="10"/>
  <c r="Q44" i="9"/>
  <c r="M45" i="10"/>
  <c r="M49" i="9"/>
  <c r="H35" i="11"/>
  <c r="C35" i="12" s="1"/>
  <c r="U35" i="10"/>
  <c r="H45" i="9"/>
  <c r="C45" i="10" s="1"/>
  <c r="U45" i="7"/>
  <c r="U49" i="7" s="1"/>
  <c r="U50" i="7" s="1"/>
  <c r="H49" i="7"/>
  <c r="C49" i="9" s="1"/>
  <c r="K50" i="7"/>
  <c r="H36" i="11"/>
  <c r="C36" i="12" s="1"/>
  <c r="U36" i="10"/>
  <c r="M20" i="10"/>
  <c r="M24" i="9"/>
  <c r="H37" i="11"/>
  <c r="C37" i="12" s="1"/>
  <c r="U37" i="10"/>
  <c r="E12" i="10"/>
  <c r="E15" i="9"/>
  <c r="K38" i="9"/>
  <c r="K34" i="10"/>
  <c r="Q50" i="7"/>
  <c r="S12" i="10"/>
  <c r="S15" i="9"/>
  <c r="G29" i="11"/>
  <c r="G33" i="10"/>
  <c r="M16" i="11"/>
  <c r="M19" i="10"/>
  <c r="S40" i="10"/>
  <c r="S44" i="9"/>
  <c r="U39" i="7"/>
  <c r="K20" i="10"/>
  <c r="K24" i="9"/>
  <c r="Q26" i="10"/>
  <c r="Q28" i="9"/>
  <c r="G45" i="10"/>
  <c r="G49" i="9"/>
  <c r="G50" i="9" s="1"/>
  <c r="Q34" i="10"/>
  <c r="Q38" i="9"/>
  <c r="K33" i="9"/>
  <c r="K29" i="10"/>
  <c r="Q12" i="10"/>
  <c r="Q15" i="9"/>
  <c r="S7" i="10"/>
  <c r="S11" i="9"/>
  <c r="M29" i="10"/>
  <c r="M33" i="9"/>
  <c r="H26" i="10"/>
  <c r="C26" i="11" s="1"/>
  <c r="H28" i="9"/>
  <c r="C28" i="10" s="1"/>
  <c r="U26" i="9"/>
  <c r="U28" i="9" s="1"/>
  <c r="E26" i="10"/>
  <c r="E28" i="9"/>
  <c r="U25" i="7"/>
  <c r="G39" i="7"/>
  <c r="Q45" i="10"/>
  <c r="Q49" i="9"/>
  <c r="H17" i="11"/>
  <c r="C17" i="12" s="1"/>
  <c r="U17" i="10"/>
  <c r="Q29" i="10"/>
  <c r="Q33" i="9"/>
  <c r="M34" i="10"/>
  <c r="M38" i="9"/>
  <c r="G25" i="7"/>
  <c r="K26" i="10"/>
  <c r="K28" i="9"/>
  <c r="H34" i="10"/>
  <c r="C34" i="11" s="1"/>
  <c r="H38" i="9"/>
  <c r="C38" i="10" s="1"/>
  <c r="U34" i="9"/>
  <c r="U38" i="9" s="1"/>
  <c r="H14" i="11"/>
  <c r="C14" i="12" s="1"/>
  <c r="U14" i="10"/>
  <c r="E29" i="10"/>
  <c r="E33" i="9"/>
  <c r="Q25" i="7"/>
  <c r="H7" i="10"/>
  <c r="C7" i="11" s="1"/>
  <c r="U7" i="9"/>
  <c r="U11" i="9" s="1"/>
  <c r="H11" i="9"/>
  <c r="C11" i="10" s="1"/>
  <c r="K15" i="9"/>
  <c r="K12" i="10"/>
  <c r="K51" i="6"/>
  <c r="J55" i="6" s="1"/>
  <c r="S26" i="10"/>
  <c r="S28" i="9"/>
  <c r="K7" i="10"/>
  <c r="K11" i="9"/>
  <c r="Q16" i="10"/>
  <c r="Q19" i="9"/>
  <c r="M12" i="10"/>
  <c r="M15" i="9"/>
  <c r="E20" i="11"/>
  <c r="E24" i="10"/>
  <c r="H16" i="10"/>
  <c r="C16" i="11" s="1"/>
  <c r="H19" i="9"/>
  <c r="C19" i="10" s="1"/>
  <c r="U16" i="9"/>
  <c r="U19" i="9" s="1"/>
  <c r="H25" i="7"/>
  <c r="C25" i="9" s="1"/>
  <c r="U33" i="9"/>
  <c r="G38" i="9"/>
  <c r="G39" i="9" s="1"/>
  <c r="G34" i="10"/>
  <c r="S20" i="10"/>
  <c r="S24" i="9"/>
  <c r="H43" i="11"/>
  <c r="C43" i="12" s="1"/>
  <c r="U43" i="10"/>
  <c r="H42" i="11"/>
  <c r="C42" i="12" s="1"/>
  <c r="U42" i="10"/>
  <c r="J56" i="4"/>
  <c r="H41" i="11"/>
  <c r="C41" i="12" s="1"/>
  <c r="U41" i="10"/>
  <c r="H40" i="10"/>
  <c r="C40" i="11" s="1"/>
  <c r="U40" i="9"/>
  <c r="U44" i="9" s="1"/>
  <c r="H44" i="9"/>
  <c r="C44" i="10" s="1"/>
  <c r="E40" i="10"/>
  <c r="E44" i="9"/>
  <c r="H51" i="6"/>
  <c r="C51" i="7" s="1"/>
  <c r="E34" i="10"/>
  <c r="E38" i="9"/>
  <c r="N30" i="19" l="1"/>
  <c r="I30" i="20" s="1"/>
  <c r="N30" i="20" s="1"/>
  <c r="T8" i="19"/>
  <c r="O8" i="20" s="1"/>
  <c r="T8" i="20" s="1"/>
  <c r="N46" i="19"/>
  <c r="I46" i="20" s="1"/>
  <c r="N46" i="20" s="1"/>
  <c r="H50" i="7"/>
  <c r="C50" i="9" s="1"/>
  <c r="I10" i="18"/>
  <c r="N10" i="18" s="1"/>
  <c r="I10" i="19" s="1"/>
  <c r="N10" i="19" s="1"/>
  <c r="I10" i="20" s="1"/>
  <c r="N10" i="20" s="1"/>
  <c r="I19" i="12"/>
  <c r="T25" i="9"/>
  <c r="O25" i="10" s="1"/>
  <c r="I49" i="11"/>
  <c r="N50" i="10"/>
  <c r="O49" i="11"/>
  <c r="T50" i="10"/>
  <c r="O50" i="11" s="1"/>
  <c r="I24" i="10"/>
  <c r="N25" i="9"/>
  <c r="N19" i="12"/>
  <c r="I16" i="13"/>
  <c r="N16" i="13" s="1"/>
  <c r="O29" i="12"/>
  <c r="T29" i="12" s="1"/>
  <c r="T33" i="11"/>
  <c r="O33" i="12" s="1"/>
  <c r="O26" i="11"/>
  <c r="T26" i="11" s="1"/>
  <c r="T28" i="10"/>
  <c r="O28" i="11" s="1"/>
  <c r="I45" i="12"/>
  <c r="N45" i="12" s="1"/>
  <c r="N49" i="11"/>
  <c r="I18" i="18"/>
  <c r="N18" i="18" s="1"/>
  <c r="I18" i="19" s="1"/>
  <c r="N18" i="19" s="1"/>
  <c r="I18" i="20" s="1"/>
  <c r="N18" i="20" s="1"/>
  <c r="O45" i="12"/>
  <c r="T45" i="12" s="1"/>
  <c r="T49" i="11"/>
  <c r="T51" i="7"/>
  <c r="O51" i="9" s="1"/>
  <c r="O25" i="9"/>
  <c r="I26" i="11"/>
  <c r="N26" i="11" s="1"/>
  <c r="N28" i="10"/>
  <c r="I28" i="11" s="1"/>
  <c r="I20" i="11"/>
  <c r="N20" i="11" s="1"/>
  <c r="N24" i="10"/>
  <c r="I12" i="12"/>
  <c r="N12" i="12" s="1"/>
  <c r="N15" i="11"/>
  <c r="I15" i="12" s="1"/>
  <c r="O7" i="11"/>
  <c r="T7" i="11" s="1"/>
  <c r="T11" i="10"/>
  <c r="O11" i="11" s="1"/>
  <c r="I38" i="11"/>
  <c r="O38" i="11"/>
  <c r="O24" i="11"/>
  <c r="N11" i="12"/>
  <c r="I11" i="13" s="1"/>
  <c r="I7" i="13"/>
  <c r="N7" i="13" s="1"/>
  <c r="O40" i="12"/>
  <c r="T40" i="12" s="1"/>
  <c r="T44" i="11"/>
  <c r="O44" i="12" s="1"/>
  <c r="N51" i="7"/>
  <c r="I51" i="9" s="1"/>
  <c r="I34" i="12"/>
  <c r="N34" i="12" s="1"/>
  <c r="N38" i="11"/>
  <c r="O34" i="12"/>
  <c r="T34" i="12" s="1"/>
  <c r="T38" i="11"/>
  <c r="O16" i="11"/>
  <c r="T16" i="11" s="1"/>
  <c r="T19" i="10"/>
  <c r="O19" i="11" s="1"/>
  <c r="T39" i="9"/>
  <c r="I29" i="12"/>
  <c r="N29" i="12" s="1"/>
  <c r="N33" i="11"/>
  <c r="I33" i="12" s="1"/>
  <c r="O12" i="12"/>
  <c r="T12" i="12" s="1"/>
  <c r="T15" i="11"/>
  <c r="O15" i="12" s="1"/>
  <c r="O20" i="12"/>
  <c r="T20" i="12" s="1"/>
  <c r="T24" i="11"/>
  <c r="I40" i="12"/>
  <c r="N40" i="12" s="1"/>
  <c r="N44" i="11"/>
  <c r="I44" i="12" s="1"/>
  <c r="E51" i="7"/>
  <c r="K39" i="9"/>
  <c r="G51" i="7"/>
  <c r="M50" i="9"/>
  <c r="Q50" i="9"/>
  <c r="U51" i="7"/>
  <c r="U33" i="10"/>
  <c r="S25" i="9"/>
  <c r="K51" i="7"/>
  <c r="E39" i="9"/>
  <c r="S20" i="11"/>
  <c r="S24" i="10"/>
  <c r="H16" i="11"/>
  <c r="C16" i="12" s="1"/>
  <c r="H19" i="10"/>
  <c r="C19" i="11" s="1"/>
  <c r="U16" i="10"/>
  <c r="U19" i="10" s="1"/>
  <c r="M12" i="11"/>
  <c r="M15" i="10"/>
  <c r="K7" i="11"/>
  <c r="K11" i="10"/>
  <c r="K12" i="11"/>
  <c r="K15" i="10"/>
  <c r="H7" i="11"/>
  <c r="C7" i="12" s="1"/>
  <c r="H11" i="10"/>
  <c r="C11" i="11" s="1"/>
  <c r="U7" i="10"/>
  <c r="U11" i="10" s="1"/>
  <c r="H34" i="11"/>
  <c r="C34" i="12" s="1"/>
  <c r="H38" i="10"/>
  <c r="C38" i="11" s="1"/>
  <c r="U34" i="10"/>
  <c r="U38" i="10" s="1"/>
  <c r="M39" i="9"/>
  <c r="M29" i="11"/>
  <c r="M33" i="10"/>
  <c r="Q12" i="11"/>
  <c r="Q15" i="10"/>
  <c r="Q34" i="11"/>
  <c r="Q38" i="10"/>
  <c r="Q26" i="11"/>
  <c r="Q28" i="10"/>
  <c r="M25" i="9"/>
  <c r="H20" i="11"/>
  <c r="C20" i="12" s="1"/>
  <c r="H24" i="10"/>
  <c r="C24" i="11" s="1"/>
  <c r="U20" i="10"/>
  <c r="U24" i="10" s="1"/>
  <c r="M7" i="11"/>
  <c r="M11" i="10"/>
  <c r="K45" i="11"/>
  <c r="K49" i="10"/>
  <c r="S29" i="11"/>
  <c r="S33" i="10"/>
  <c r="S39" i="9"/>
  <c r="G16" i="12"/>
  <c r="G19" i="11"/>
  <c r="H21" i="12"/>
  <c r="C21" i="13" s="1"/>
  <c r="U21" i="11"/>
  <c r="G26" i="11"/>
  <c r="G28" i="10"/>
  <c r="G20" i="11"/>
  <c r="G24" i="10"/>
  <c r="K40" i="11"/>
  <c r="K44" i="10"/>
  <c r="S45" i="11"/>
  <c r="S49" i="10"/>
  <c r="G34" i="11"/>
  <c r="G38" i="10"/>
  <c r="G39" i="10" s="1"/>
  <c r="H14" i="12"/>
  <c r="C14" i="13" s="1"/>
  <c r="U14" i="11"/>
  <c r="M34" i="11"/>
  <c r="M38" i="10"/>
  <c r="H17" i="12"/>
  <c r="C17" i="13" s="1"/>
  <c r="U17" i="11"/>
  <c r="K29" i="11"/>
  <c r="K33" i="10"/>
  <c r="K25" i="9"/>
  <c r="K51" i="9" s="1"/>
  <c r="S40" i="11"/>
  <c r="S44" i="10"/>
  <c r="G29" i="12"/>
  <c r="G33" i="11"/>
  <c r="E12" i="11"/>
  <c r="E15" i="10"/>
  <c r="M20" i="11"/>
  <c r="M24" i="10"/>
  <c r="H35" i="12"/>
  <c r="C35" i="13" s="1"/>
  <c r="U35" i="11"/>
  <c r="Q40" i="11"/>
  <c r="Q44" i="10"/>
  <c r="K16" i="12"/>
  <c r="K19" i="11"/>
  <c r="Q51" i="7"/>
  <c r="Q7" i="11"/>
  <c r="Q11" i="10"/>
  <c r="H12" i="11"/>
  <c r="C12" i="12" s="1"/>
  <c r="H15" i="10"/>
  <c r="C15" i="11" s="1"/>
  <c r="U12" i="10"/>
  <c r="U15" i="10" s="1"/>
  <c r="H29" i="12"/>
  <c r="C29" i="13" s="1"/>
  <c r="H33" i="11"/>
  <c r="C33" i="12" s="1"/>
  <c r="U29" i="11"/>
  <c r="S34" i="11"/>
  <c r="S38" i="10"/>
  <c r="Q25" i="9"/>
  <c r="E19" i="10"/>
  <c r="E16" i="11"/>
  <c r="H18" i="12"/>
  <c r="C18" i="13" s="1"/>
  <c r="U18" i="11"/>
  <c r="H27" i="12"/>
  <c r="C27" i="13" s="1"/>
  <c r="U27" i="11"/>
  <c r="H32" i="12"/>
  <c r="C32" i="13" s="1"/>
  <c r="U32" i="11"/>
  <c r="H31" i="12"/>
  <c r="C31" i="13" s="1"/>
  <c r="U31" i="11"/>
  <c r="H9" i="12"/>
  <c r="C9" i="13" s="1"/>
  <c r="U9" i="11"/>
  <c r="E20" i="12"/>
  <c r="E24" i="11"/>
  <c r="Q16" i="11"/>
  <c r="Q19" i="10"/>
  <c r="S26" i="11"/>
  <c r="S28" i="10"/>
  <c r="H25" i="9"/>
  <c r="C25" i="10" s="1"/>
  <c r="U39" i="9"/>
  <c r="K26" i="11"/>
  <c r="K28" i="10"/>
  <c r="H26" i="11"/>
  <c r="C26" i="12" s="1"/>
  <c r="U26" i="10"/>
  <c r="U28" i="10" s="1"/>
  <c r="H28" i="10"/>
  <c r="C28" i="11" s="1"/>
  <c r="S7" i="11"/>
  <c r="S11" i="10"/>
  <c r="G45" i="11"/>
  <c r="G49" i="10"/>
  <c r="K20" i="11"/>
  <c r="K24" i="10"/>
  <c r="K25" i="10" s="1"/>
  <c r="K34" i="11"/>
  <c r="K38" i="10"/>
  <c r="M51" i="9"/>
  <c r="U25" i="9"/>
  <c r="H47" i="12"/>
  <c r="C47" i="13" s="1"/>
  <c r="U47" i="11"/>
  <c r="H22" i="12"/>
  <c r="C22" i="13" s="1"/>
  <c r="U22" i="11"/>
  <c r="M26" i="11"/>
  <c r="M28" i="10"/>
  <c r="H13" i="12"/>
  <c r="C13" i="13" s="1"/>
  <c r="U13" i="11"/>
  <c r="Q20" i="11"/>
  <c r="Q24" i="10"/>
  <c r="E25" i="9"/>
  <c r="S16" i="11"/>
  <c r="S19" i="10"/>
  <c r="G7" i="11"/>
  <c r="G11" i="10"/>
  <c r="E29" i="11"/>
  <c r="E33" i="10"/>
  <c r="H39" i="9"/>
  <c r="C39" i="10" s="1"/>
  <c r="Q29" i="11"/>
  <c r="Q33" i="10"/>
  <c r="Q45" i="11"/>
  <c r="Q49" i="10"/>
  <c r="Q50" i="10" s="1"/>
  <c r="E26" i="11"/>
  <c r="E28" i="10"/>
  <c r="Q39" i="9"/>
  <c r="M16" i="12"/>
  <c r="M19" i="11"/>
  <c r="S12" i="11"/>
  <c r="S15" i="10"/>
  <c r="H37" i="12"/>
  <c r="C37" i="13" s="1"/>
  <c r="U37" i="11"/>
  <c r="H36" i="12"/>
  <c r="C36" i="13" s="1"/>
  <c r="U36" i="11"/>
  <c r="H45" i="10"/>
  <c r="C45" i="11" s="1"/>
  <c r="H49" i="9"/>
  <c r="C49" i="10" s="1"/>
  <c r="U45" i="9"/>
  <c r="U49" i="9" s="1"/>
  <c r="U50" i="9" s="1"/>
  <c r="M45" i="11"/>
  <c r="M49" i="10"/>
  <c r="E45" i="10"/>
  <c r="E49" i="9"/>
  <c r="E50" i="9" s="1"/>
  <c r="G40" i="11"/>
  <c r="G44" i="10"/>
  <c r="M40" i="11"/>
  <c r="M44" i="10"/>
  <c r="E7" i="11"/>
  <c r="E11" i="10"/>
  <c r="H10" i="12"/>
  <c r="C10" i="13" s="1"/>
  <c r="U10" i="11"/>
  <c r="M51" i="7"/>
  <c r="G12" i="11"/>
  <c r="G15" i="10"/>
  <c r="G25" i="9"/>
  <c r="G51" i="9" s="1"/>
  <c r="S50" i="9"/>
  <c r="S51" i="9" s="1"/>
  <c r="H46" i="12"/>
  <c r="C46" i="13" s="1"/>
  <c r="U46" i="11"/>
  <c r="H23" i="12"/>
  <c r="C23" i="13" s="1"/>
  <c r="U23" i="11"/>
  <c r="H48" i="12"/>
  <c r="C48" i="13" s="1"/>
  <c r="U48" i="11"/>
  <c r="H30" i="12"/>
  <c r="C30" i="13" s="1"/>
  <c r="U30" i="11"/>
  <c r="H8" i="12"/>
  <c r="C8" i="13" s="1"/>
  <c r="U8" i="11"/>
  <c r="H43" i="12"/>
  <c r="C43" i="13" s="1"/>
  <c r="U43" i="11"/>
  <c r="H42" i="12"/>
  <c r="C42" i="13" s="1"/>
  <c r="U42" i="11"/>
  <c r="H41" i="12"/>
  <c r="C41" i="13" s="1"/>
  <c r="U41" i="11"/>
  <c r="E40" i="11"/>
  <c r="E44" i="10"/>
  <c r="J56" i="6"/>
  <c r="H51" i="7"/>
  <c r="C51" i="9" s="1"/>
  <c r="H40" i="11"/>
  <c r="C40" i="12" s="1"/>
  <c r="U40" i="10"/>
  <c r="U44" i="10" s="1"/>
  <c r="H44" i="10"/>
  <c r="C44" i="11" s="1"/>
  <c r="E38" i="10"/>
  <c r="E39" i="10" s="1"/>
  <c r="E34" i="11"/>
  <c r="T39" i="10" l="1"/>
  <c r="N39" i="10"/>
  <c r="I39" i="11" s="1"/>
  <c r="T24" i="12"/>
  <c r="O24" i="13" s="1"/>
  <c r="O20" i="13"/>
  <c r="T20" i="13" s="1"/>
  <c r="N33" i="12"/>
  <c r="I33" i="13" s="1"/>
  <c r="I29" i="13"/>
  <c r="N29" i="13" s="1"/>
  <c r="O38" i="12"/>
  <c r="O7" i="12"/>
  <c r="T7" i="12" s="1"/>
  <c r="T11" i="11"/>
  <c r="O11" i="12" s="1"/>
  <c r="I20" i="12"/>
  <c r="N20" i="12" s="1"/>
  <c r="N24" i="11"/>
  <c r="O26" i="12"/>
  <c r="T26" i="12" s="1"/>
  <c r="T28" i="11"/>
  <c r="O28" i="12" s="1"/>
  <c r="I19" i="13"/>
  <c r="T51" i="9"/>
  <c r="O51" i="10" s="1"/>
  <c r="O39" i="10"/>
  <c r="T38" i="12"/>
  <c r="O38" i="13" s="1"/>
  <c r="O34" i="13"/>
  <c r="T34" i="13" s="1"/>
  <c r="T25" i="10"/>
  <c r="O25" i="11" s="1"/>
  <c r="O49" i="12"/>
  <c r="T50" i="11"/>
  <c r="I49" i="12"/>
  <c r="N50" i="11"/>
  <c r="N51" i="9"/>
  <c r="I51" i="10" s="1"/>
  <c r="I25" i="10"/>
  <c r="I50" i="11"/>
  <c r="N44" i="12"/>
  <c r="I40" i="13"/>
  <c r="N40" i="13" s="1"/>
  <c r="T15" i="12"/>
  <c r="O15" i="13" s="1"/>
  <c r="O12" i="13"/>
  <c r="T12" i="13" s="1"/>
  <c r="I38" i="12"/>
  <c r="T44" i="12"/>
  <c r="O40" i="13"/>
  <c r="T40" i="13" s="1"/>
  <c r="N15" i="12"/>
  <c r="I15" i="13" s="1"/>
  <c r="I12" i="13"/>
  <c r="N12" i="13" s="1"/>
  <c r="I26" i="12"/>
  <c r="N26" i="12" s="1"/>
  <c r="N28" i="11"/>
  <c r="I28" i="12" s="1"/>
  <c r="T49" i="12"/>
  <c r="O49" i="13" s="1"/>
  <c r="O45" i="13"/>
  <c r="T45" i="13" s="1"/>
  <c r="N49" i="12"/>
  <c r="I49" i="13" s="1"/>
  <c r="I45" i="13"/>
  <c r="N45" i="13" s="1"/>
  <c r="T33" i="12"/>
  <c r="O33" i="13" s="1"/>
  <c r="O29" i="13"/>
  <c r="T29" i="13" s="1"/>
  <c r="O24" i="12"/>
  <c r="O16" i="12"/>
  <c r="T16" i="12" s="1"/>
  <c r="T19" i="11"/>
  <c r="O19" i="12" s="1"/>
  <c r="N38" i="12"/>
  <c r="I34" i="13"/>
  <c r="N34" i="13" s="1"/>
  <c r="I7" i="16"/>
  <c r="N7" i="16" s="1"/>
  <c r="N11" i="13"/>
  <c r="I11" i="16" s="1"/>
  <c r="T51" i="10"/>
  <c r="O51" i="11" s="1"/>
  <c r="O39" i="11"/>
  <c r="I24" i="11"/>
  <c r="N25" i="10"/>
  <c r="I25" i="11" s="1"/>
  <c r="I16" i="16"/>
  <c r="N16" i="16" s="1"/>
  <c r="N19" i="13"/>
  <c r="I19" i="16" s="1"/>
  <c r="M25" i="10"/>
  <c r="H50" i="9"/>
  <c r="C50" i="10" s="1"/>
  <c r="M50" i="10"/>
  <c r="E51" i="9"/>
  <c r="G25" i="10"/>
  <c r="U51" i="9"/>
  <c r="S25" i="10"/>
  <c r="E25" i="10"/>
  <c r="J55" i="7"/>
  <c r="Q51" i="9"/>
  <c r="Q25" i="10"/>
  <c r="U8" i="12"/>
  <c r="H8" i="13"/>
  <c r="C8" i="16" s="1"/>
  <c r="U46" i="12"/>
  <c r="H46" i="13"/>
  <c r="C46" i="16" s="1"/>
  <c r="E7" i="12"/>
  <c r="E11" i="11"/>
  <c r="G40" i="12"/>
  <c r="G44" i="11"/>
  <c r="M45" i="12"/>
  <c r="M49" i="11"/>
  <c r="Q49" i="11"/>
  <c r="Q45" i="12"/>
  <c r="U13" i="12"/>
  <c r="H13" i="13"/>
  <c r="C13" i="16" s="1"/>
  <c r="U22" i="12"/>
  <c r="H22" i="13"/>
  <c r="C22" i="16" s="1"/>
  <c r="K20" i="12"/>
  <c r="K24" i="11"/>
  <c r="S7" i="12"/>
  <c r="S11" i="11"/>
  <c r="U33" i="11"/>
  <c r="Q40" i="12"/>
  <c r="Q44" i="11"/>
  <c r="M20" i="12"/>
  <c r="M24" i="11"/>
  <c r="G29" i="13"/>
  <c r="G33" i="12"/>
  <c r="K39" i="10"/>
  <c r="M39" i="10"/>
  <c r="S45" i="12"/>
  <c r="S49" i="11"/>
  <c r="G20" i="12"/>
  <c r="G24" i="11"/>
  <c r="U21" i="12"/>
  <c r="H21" i="13"/>
  <c r="C21" i="16" s="1"/>
  <c r="H20" i="12"/>
  <c r="C20" i="13" s="1"/>
  <c r="U20" i="11"/>
  <c r="U24" i="11" s="1"/>
  <c r="H24" i="11"/>
  <c r="C24" i="12" s="1"/>
  <c r="Q39" i="10"/>
  <c r="H39" i="10"/>
  <c r="C39" i="11" s="1"/>
  <c r="H7" i="12"/>
  <c r="C7" i="13" s="1"/>
  <c r="U7" i="11"/>
  <c r="U11" i="11" s="1"/>
  <c r="H11" i="11"/>
  <c r="C11" i="12" s="1"/>
  <c r="K7" i="12"/>
  <c r="K11" i="11"/>
  <c r="U30" i="12"/>
  <c r="H30" i="13"/>
  <c r="C30" i="16" s="1"/>
  <c r="U23" i="12"/>
  <c r="H23" i="13"/>
  <c r="C23" i="16" s="1"/>
  <c r="U36" i="12"/>
  <c r="H36" i="13"/>
  <c r="C36" i="16" s="1"/>
  <c r="S12" i="12"/>
  <c r="S15" i="11"/>
  <c r="G7" i="12"/>
  <c r="G11" i="11"/>
  <c r="G50" i="10"/>
  <c r="Q16" i="12"/>
  <c r="Q19" i="11"/>
  <c r="U9" i="12"/>
  <c r="H9" i="13"/>
  <c r="C9" i="16" s="1"/>
  <c r="U32" i="12"/>
  <c r="H32" i="13"/>
  <c r="C32" i="16" s="1"/>
  <c r="U18" i="12"/>
  <c r="H18" i="13"/>
  <c r="C18" i="16" s="1"/>
  <c r="H12" i="12"/>
  <c r="C12" i="13" s="1"/>
  <c r="H15" i="11"/>
  <c r="C15" i="12" s="1"/>
  <c r="U12" i="11"/>
  <c r="U15" i="11" s="1"/>
  <c r="K29" i="12"/>
  <c r="K33" i="11"/>
  <c r="M34" i="12"/>
  <c r="M38" i="11"/>
  <c r="S29" i="12"/>
  <c r="S33" i="11"/>
  <c r="M7" i="12"/>
  <c r="M11" i="11"/>
  <c r="Q34" i="12"/>
  <c r="Q38" i="11"/>
  <c r="M29" i="12"/>
  <c r="M33" i="11"/>
  <c r="H34" i="12"/>
  <c r="C34" i="13" s="1"/>
  <c r="H38" i="11"/>
  <c r="C38" i="12" s="1"/>
  <c r="U34" i="11"/>
  <c r="U38" i="11" s="1"/>
  <c r="H16" i="12"/>
  <c r="C16" i="13" s="1"/>
  <c r="H19" i="11"/>
  <c r="C19" i="12" s="1"/>
  <c r="U16" i="11"/>
  <c r="U19" i="11" s="1"/>
  <c r="U10" i="12"/>
  <c r="H10" i="13"/>
  <c r="C10" i="16" s="1"/>
  <c r="M40" i="12"/>
  <c r="M44" i="11"/>
  <c r="E45" i="11"/>
  <c r="E49" i="10"/>
  <c r="E50" i="10" s="1"/>
  <c r="E26" i="12"/>
  <c r="E28" i="11"/>
  <c r="Q29" i="12"/>
  <c r="Q33" i="11"/>
  <c r="E29" i="12"/>
  <c r="E33" i="11"/>
  <c r="Q20" i="12"/>
  <c r="Q24" i="11"/>
  <c r="M26" i="12"/>
  <c r="M28" i="11"/>
  <c r="U47" i="12"/>
  <c r="H47" i="13"/>
  <c r="C47" i="16" s="1"/>
  <c r="K34" i="12"/>
  <c r="K38" i="11"/>
  <c r="G45" i="12"/>
  <c r="G49" i="11"/>
  <c r="K28" i="11"/>
  <c r="K26" i="12"/>
  <c r="E19" i="11"/>
  <c r="E16" i="12"/>
  <c r="S39" i="10"/>
  <c r="H29" i="13"/>
  <c r="C29" i="16" s="1"/>
  <c r="H33" i="12"/>
  <c r="C33" i="13" s="1"/>
  <c r="U29" i="12"/>
  <c r="K16" i="13"/>
  <c r="K19" i="12"/>
  <c r="U35" i="12"/>
  <c r="H35" i="13"/>
  <c r="C35" i="16" s="1"/>
  <c r="E12" i="12"/>
  <c r="E15" i="11"/>
  <c r="S40" i="12"/>
  <c r="S44" i="11"/>
  <c r="G34" i="12"/>
  <c r="G38" i="11"/>
  <c r="K40" i="12"/>
  <c r="K44" i="11"/>
  <c r="G26" i="12"/>
  <c r="G28" i="11"/>
  <c r="G19" i="12"/>
  <c r="G16" i="13"/>
  <c r="K50" i="10"/>
  <c r="K50" i="11" s="1"/>
  <c r="U25" i="10"/>
  <c r="K12" i="12"/>
  <c r="K15" i="11"/>
  <c r="M12" i="12"/>
  <c r="M15" i="11"/>
  <c r="U48" i="12"/>
  <c r="H48" i="13"/>
  <c r="C48" i="16" s="1"/>
  <c r="G12" i="12"/>
  <c r="G15" i="11"/>
  <c r="M51" i="10"/>
  <c r="M50" i="11"/>
  <c r="H45" i="11"/>
  <c r="C45" i="12" s="1"/>
  <c r="H49" i="10"/>
  <c r="C49" i="11" s="1"/>
  <c r="U45" i="10"/>
  <c r="U49" i="10" s="1"/>
  <c r="U50" i="10" s="1"/>
  <c r="U37" i="12"/>
  <c r="H37" i="13"/>
  <c r="C37" i="16" s="1"/>
  <c r="M16" i="13"/>
  <c r="M19" i="12"/>
  <c r="Q51" i="10"/>
  <c r="Q50" i="11"/>
  <c r="S19" i="11"/>
  <c r="S16" i="12"/>
  <c r="H26" i="12"/>
  <c r="C26" i="13" s="1"/>
  <c r="U26" i="11"/>
  <c r="U28" i="11" s="1"/>
  <c r="H28" i="11"/>
  <c r="C28" i="12" s="1"/>
  <c r="S26" i="12"/>
  <c r="S28" i="11"/>
  <c r="E20" i="13"/>
  <c r="E24" i="12"/>
  <c r="U31" i="12"/>
  <c r="H31" i="13"/>
  <c r="C31" i="16" s="1"/>
  <c r="H27" i="13"/>
  <c r="C27" i="16" s="1"/>
  <c r="U27" i="12"/>
  <c r="S34" i="12"/>
  <c r="S38" i="11"/>
  <c r="S39" i="11" s="1"/>
  <c r="Q7" i="12"/>
  <c r="Q11" i="11"/>
  <c r="U17" i="12"/>
  <c r="H17" i="13"/>
  <c r="C17" i="16" s="1"/>
  <c r="U14" i="12"/>
  <c r="H14" i="13"/>
  <c r="C14" i="16" s="1"/>
  <c r="S50" i="10"/>
  <c r="K49" i="11"/>
  <c r="K45" i="12"/>
  <c r="H25" i="10"/>
  <c r="C25" i="11" s="1"/>
  <c r="Q26" i="12"/>
  <c r="Q28" i="11"/>
  <c r="Q39" i="11" s="1"/>
  <c r="Q12" i="12"/>
  <c r="Q15" i="11"/>
  <c r="U39" i="10"/>
  <c r="S20" i="12"/>
  <c r="S24" i="11"/>
  <c r="U43" i="12"/>
  <c r="H43" i="13"/>
  <c r="C43" i="16" s="1"/>
  <c r="U42" i="12"/>
  <c r="H42" i="13"/>
  <c r="C42" i="16" s="1"/>
  <c r="H41" i="13"/>
  <c r="C41" i="16" s="1"/>
  <c r="U41" i="12"/>
  <c r="H51" i="9"/>
  <c r="C51" i="10" s="1"/>
  <c r="H40" i="12"/>
  <c r="C40" i="13" s="1"/>
  <c r="U40" i="11"/>
  <c r="U44" i="11" s="1"/>
  <c r="H44" i="11"/>
  <c r="C44" i="12" s="1"/>
  <c r="J56" i="7"/>
  <c r="E40" i="12"/>
  <c r="E44" i="11"/>
  <c r="E34" i="12"/>
  <c r="E38" i="11"/>
  <c r="E39" i="11" s="1"/>
  <c r="T25" i="11" l="1"/>
  <c r="O25" i="12" s="1"/>
  <c r="I7" i="18"/>
  <c r="N7" i="18" s="1"/>
  <c r="I7" i="19" s="1"/>
  <c r="N11" i="16"/>
  <c r="I11" i="18" s="1"/>
  <c r="T19" i="12"/>
  <c r="O19" i="13" s="1"/>
  <c r="O16" i="13"/>
  <c r="T16" i="13" s="1"/>
  <c r="N39" i="11"/>
  <c r="I39" i="12" s="1"/>
  <c r="I44" i="13"/>
  <c r="N50" i="12"/>
  <c r="I29" i="16"/>
  <c r="N29" i="16" s="1"/>
  <c r="N33" i="13"/>
  <c r="I33" i="16" s="1"/>
  <c r="I34" i="16"/>
  <c r="N34" i="16" s="1"/>
  <c r="N38" i="13"/>
  <c r="I45" i="16"/>
  <c r="N45" i="16" s="1"/>
  <c r="N49" i="13"/>
  <c r="I49" i="16" s="1"/>
  <c r="O40" i="16"/>
  <c r="T40" i="16" s="1"/>
  <c r="T44" i="13"/>
  <c r="O12" i="16"/>
  <c r="T12" i="16" s="1"/>
  <c r="T15" i="13"/>
  <c r="O15" i="16" s="1"/>
  <c r="N51" i="10"/>
  <c r="I51" i="11" s="1"/>
  <c r="I50" i="12"/>
  <c r="T28" i="12"/>
  <c r="O26" i="13"/>
  <c r="T26" i="13" s="1"/>
  <c r="T11" i="12"/>
  <c r="O7" i="13"/>
  <c r="T7" i="13" s="1"/>
  <c r="I16" i="18"/>
  <c r="N16" i="18" s="1"/>
  <c r="I16" i="19" s="1"/>
  <c r="N19" i="16"/>
  <c r="I19" i="18" s="1"/>
  <c r="I38" i="13"/>
  <c r="N28" i="12"/>
  <c r="I28" i="13" s="1"/>
  <c r="I26" i="13"/>
  <c r="N26" i="13" s="1"/>
  <c r="O44" i="13"/>
  <c r="T50" i="12"/>
  <c r="O50" i="13" s="1"/>
  <c r="O34" i="16"/>
  <c r="T34" i="16" s="1"/>
  <c r="T38" i="13"/>
  <c r="I24" i="12"/>
  <c r="N25" i="11"/>
  <c r="I25" i="12" s="1"/>
  <c r="T39" i="11"/>
  <c r="O39" i="12" s="1"/>
  <c r="O20" i="16"/>
  <c r="T20" i="16" s="1"/>
  <c r="T24" i="13"/>
  <c r="O29" i="16"/>
  <c r="T29" i="16" s="1"/>
  <c r="T33" i="13"/>
  <c r="O33" i="16" s="1"/>
  <c r="O45" i="16"/>
  <c r="T45" i="16" s="1"/>
  <c r="T49" i="13"/>
  <c r="O49" i="16" s="1"/>
  <c r="I12" i="16"/>
  <c r="N12" i="16" s="1"/>
  <c r="N15" i="13"/>
  <c r="I15" i="16" s="1"/>
  <c r="I40" i="16"/>
  <c r="N40" i="16" s="1"/>
  <c r="N44" i="13"/>
  <c r="O50" i="12"/>
  <c r="T51" i="11"/>
  <c r="O51" i="12" s="1"/>
  <c r="N24" i="12"/>
  <c r="I24" i="13" s="1"/>
  <c r="I20" i="13"/>
  <c r="N20" i="13" s="1"/>
  <c r="H50" i="10"/>
  <c r="C50" i="11" s="1"/>
  <c r="K51" i="10"/>
  <c r="J55" i="9"/>
  <c r="U51" i="10"/>
  <c r="E25" i="11"/>
  <c r="E50" i="11"/>
  <c r="E51" i="10"/>
  <c r="Q26" i="13"/>
  <c r="Q28" i="12"/>
  <c r="H17" i="16"/>
  <c r="C17" i="18" s="1"/>
  <c r="U17" i="13"/>
  <c r="H31" i="16"/>
  <c r="C31" i="18" s="1"/>
  <c r="U31" i="13"/>
  <c r="H26" i="13"/>
  <c r="C26" i="16" s="1"/>
  <c r="U26" i="12"/>
  <c r="U28" i="12" s="1"/>
  <c r="H28" i="12"/>
  <c r="C28" i="13" s="1"/>
  <c r="H37" i="16"/>
  <c r="C37" i="18" s="1"/>
  <c r="U37" i="13"/>
  <c r="H45" i="12"/>
  <c r="C45" i="13" s="1"/>
  <c r="H49" i="11"/>
  <c r="C49" i="12" s="1"/>
  <c r="U45" i="11"/>
  <c r="U49" i="11" s="1"/>
  <c r="G12" i="13"/>
  <c r="G15" i="12"/>
  <c r="M12" i="13"/>
  <c r="M15" i="12"/>
  <c r="G26" i="13"/>
  <c r="G28" i="12"/>
  <c r="G34" i="13"/>
  <c r="G38" i="12"/>
  <c r="E12" i="13"/>
  <c r="E15" i="12"/>
  <c r="K16" i="16"/>
  <c r="K19" i="13"/>
  <c r="K26" i="13"/>
  <c r="K28" i="12"/>
  <c r="K39" i="11"/>
  <c r="H39" i="11"/>
  <c r="C39" i="12" s="1"/>
  <c r="H12" i="13"/>
  <c r="C12" i="16" s="1"/>
  <c r="H15" i="12"/>
  <c r="C15" i="13" s="1"/>
  <c r="U12" i="12"/>
  <c r="U15" i="12" s="1"/>
  <c r="Q19" i="12"/>
  <c r="Q16" i="13"/>
  <c r="H23" i="16"/>
  <c r="C23" i="18" s="1"/>
  <c r="U23" i="13"/>
  <c r="H7" i="13"/>
  <c r="C7" i="16" s="1"/>
  <c r="H11" i="12"/>
  <c r="C11" i="13" s="1"/>
  <c r="U7" i="12"/>
  <c r="U11" i="12" s="1"/>
  <c r="H25" i="11"/>
  <c r="C25" i="12" s="1"/>
  <c r="S45" i="13"/>
  <c r="S49" i="12"/>
  <c r="G29" i="16"/>
  <c r="G33" i="13"/>
  <c r="Q40" i="13"/>
  <c r="Q44" i="12"/>
  <c r="K25" i="11"/>
  <c r="H13" i="16"/>
  <c r="C13" i="18" s="1"/>
  <c r="U13" i="13"/>
  <c r="S50" i="11"/>
  <c r="S51" i="10"/>
  <c r="S34" i="13"/>
  <c r="S38" i="12"/>
  <c r="S26" i="13"/>
  <c r="S28" i="12"/>
  <c r="H48" i="16"/>
  <c r="C48" i="18" s="1"/>
  <c r="U48" i="13"/>
  <c r="G16" i="16"/>
  <c r="G19" i="13"/>
  <c r="H35" i="16"/>
  <c r="C35" i="18" s="1"/>
  <c r="U35" i="13"/>
  <c r="U33" i="12"/>
  <c r="E19" i="12"/>
  <c r="E16" i="13"/>
  <c r="K34" i="13"/>
  <c r="K38" i="12"/>
  <c r="M26" i="13"/>
  <c r="M28" i="12"/>
  <c r="E29" i="13"/>
  <c r="E33" i="12"/>
  <c r="E26" i="13"/>
  <c r="E28" i="12"/>
  <c r="M40" i="13"/>
  <c r="M44" i="12"/>
  <c r="H34" i="13"/>
  <c r="C34" i="16" s="1"/>
  <c r="U34" i="12"/>
  <c r="U38" i="12" s="1"/>
  <c r="H38" i="12"/>
  <c r="C38" i="13" s="1"/>
  <c r="Q34" i="13"/>
  <c r="Q38" i="12"/>
  <c r="S29" i="13"/>
  <c r="S33" i="12"/>
  <c r="K29" i="13"/>
  <c r="K33" i="12"/>
  <c r="H18" i="16"/>
  <c r="C18" i="18" s="1"/>
  <c r="U18" i="13"/>
  <c r="H9" i="16"/>
  <c r="C9" i="18" s="1"/>
  <c r="U9" i="13"/>
  <c r="G50" i="11"/>
  <c r="G51" i="10"/>
  <c r="S12" i="13"/>
  <c r="S15" i="12"/>
  <c r="K7" i="13"/>
  <c r="K11" i="12"/>
  <c r="U25" i="11"/>
  <c r="G25" i="11"/>
  <c r="M25" i="11"/>
  <c r="K20" i="13"/>
  <c r="K24" i="12"/>
  <c r="M45" i="13"/>
  <c r="M49" i="12"/>
  <c r="E7" i="13"/>
  <c r="E11" i="12"/>
  <c r="H8" i="16"/>
  <c r="C8" i="18" s="1"/>
  <c r="U8" i="13"/>
  <c r="U50" i="11"/>
  <c r="Q12" i="13"/>
  <c r="Q15" i="12"/>
  <c r="H14" i="16"/>
  <c r="C14" i="18" s="1"/>
  <c r="U14" i="13"/>
  <c r="S16" i="13"/>
  <c r="S19" i="12"/>
  <c r="K12" i="13"/>
  <c r="K15" i="12"/>
  <c r="K40" i="13"/>
  <c r="K44" i="12"/>
  <c r="S40" i="13"/>
  <c r="S44" i="12"/>
  <c r="H47" i="16"/>
  <c r="C47" i="18" s="1"/>
  <c r="U47" i="13"/>
  <c r="Q25" i="11"/>
  <c r="Q51" i="11" s="1"/>
  <c r="H10" i="16"/>
  <c r="C10" i="18" s="1"/>
  <c r="U10" i="13"/>
  <c r="H16" i="13"/>
  <c r="C16" i="16" s="1"/>
  <c r="H19" i="12"/>
  <c r="C19" i="13" s="1"/>
  <c r="U16" i="12"/>
  <c r="U19" i="12" s="1"/>
  <c r="M39" i="11"/>
  <c r="H36" i="16"/>
  <c r="C36" i="18" s="1"/>
  <c r="U36" i="13"/>
  <c r="H30" i="16"/>
  <c r="C30" i="18" s="1"/>
  <c r="U30" i="13"/>
  <c r="H20" i="13"/>
  <c r="C20" i="16" s="1"/>
  <c r="H24" i="12"/>
  <c r="C24" i="13" s="1"/>
  <c r="U20" i="12"/>
  <c r="U24" i="12" s="1"/>
  <c r="G20" i="13"/>
  <c r="G24" i="12"/>
  <c r="M20" i="13"/>
  <c r="M24" i="12"/>
  <c r="H22" i="16"/>
  <c r="C22" i="18" s="1"/>
  <c r="U22" i="13"/>
  <c r="Q45" i="13"/>
  <c r="Q49" i="12"/>
  <c r="Q50" i="12" s="1"/>
  <c r="S20" i="13"/>
  <c r="S24" i="12"/>
  <c r="K49" i="12"/>
  <c r="K45" i="13"/>
  <c r="Q7" i="13"/>
  <c r="Q11" i="12"/>
  <c r="H27" i="16"/>
  <c r="C27" i="18" s="1"/>
  <c r="U27" i="13"/>
  <c r="E20" i="16"/>
  <c r="E24" i="13"/>
  <c r="S25" i="11"/>
  <c r="S51" i="11" s="1"/>
  <c r="M16" i="16"/>
  <c r="M19" i="13"/>
  <c r="G39" i="11"/>
  <c r="H29" i="16"/>
  <c r="C29" i="18" s="1"/>
  <c r="H33" i="13"/>
  <c r="C33" i="16" s="1"/>
  <c r="U29" i="13"/>
  <c r="G45" i="13"/>
  <c r="G49" i="12"/>
  <c r="Q20" i="13"/>
  <c r="Q24" i="12"/>
  <c r="Q29" i="13"/>
  <c r="Q33" i="12"/>
  <c r="E45" i="12"/>
  <c r="E49" i="11"/>
  <c r="U39" i="11"/>
  <c r="M29" i="13"/>
  <c r="M33" i="12"/>
  <c r="M7" i="13"/>
  <c r="M11" i="12"/>
  <c r="M34" i="13"/>
  <c r="M38" i="12"/>
  <c r="H32" i="16"/>
  <c r="C32" i="18" s="1"/>
  <c r="U32" i="13"/>
  <c r="G7" i="13"/>
  <c r="G11" i="12"/>
  <c r="H21" i="16"/>
  <c r="C21" i="18" s="1"/>
  <c r="U21" i="13"/>
  <c r="S7" i="13"/>
  <c r="S11" i="12"/>
  <c r="G40" i="13"/>
  <c r="G44" i="12"/>
  <c r="H46" i="16"/>
  <c r="C46" i="18" s="1"/>
  <c r="U46" i="13"/>
  <c r="H43" i="16"/>
  <c r="C43" i="18" s="1"/>
  <c r="U43" i="13"/>
  <c r="H42" i="16"/>
  <c r="C42" i="18" s="1"/>
  <c r="U42" i="13"/>
  <c r="H41" i="16"/>
  <c r="C41" i="18" s="1"/>
  <c r="U41" i="13"/>
  <c r="E40" i="13"/>
  <c r="E44" i="12"/>
  <c r="H51" i="10"/>
  <c r="C51" i="11" s="1"/>
  <c r="J56" i="9"/>
  <c r="U40" i="12"/>
  <c r="U44" i="12" s="1"/>
  <c r="H40" i="13"/>
  <c r="C40" i="16" s="1"/>
  <c r="H44" i="12"/>
  <c r="C44" i="13" s="1"/>
  <c r="E34" i="13"/>
  <c r="E38" i="12"/>
  <c r="E39" i="12" s="1"/>
  <c r="H50" i="11" l="1"/>
  <c r="C50" i="12" s="1"/>
  <c r="N7" i="19"/>
  <c r="I11" i="19"/>
  <c r="I19" i="19"/>
  <c r="N16" i="19"/>
  <c r="N11" i="18"/>
  <c r="N19" i="18"/>
  <c r="N25" i="12"/>
  <c r="I25" i="13" s="1"/>
  <c r="I20" i="16"/>
  <c r="N20" i="16" s="1"/>
  <c r="N24" i="13"/>
  <c r="I12" i="18"/>
  <c r="N12" i="18" s="1"/>
  <c r="I12" i="19" s="1"/>
  <c r="N15" i="16"/>
  <c r="I15" i="18" s="1"/>
  <c r="O29" i="18"/>
  <c r="T29" i="18" s="1"/>
  <c r="O29" i="19" s="1"/>
  <c r="T33" i="16"/>
  <c r="O33" i="18" s="1"/>
  <c r="O7" i="16"/>
  <c r="T7" i="16" s="1"/>
  <c r="T11" i="13"/>
  <c r="O11" i="16" s="1"/>
  <c r="O12" i="18"/>
  <c r="T12" i="18" s="1"/>
  <c r="O12" i="19" s="1"/>
  <c r="T15" i="16"/>
  <c r="I45" i="18"/>
  <c r="N45" i="18" s="1"/>
  <c r="I45" i="19" s="1"/>
  <c r="N49" i="16"/>
  <c r="I49" i="18" s="1"/>
  <c r="I29" i="18"/>
  <c r="N29" i="18" s="1"/>
  <c r="I29" i="19" s="1"/>
  <c r="N33" i="16"/>
  <c r="I33" i="18" s="1"/>
  <c r="O16" i="16"/>
  <c r="T16" i="16" s="1"/>
  <c r="T19" i="13"/>
  <c r="O19" i="16" s="1"/>
  <c r="N50" i="13"/>
  <c r="I50" i="16" s="1"/>
  <c r="I44" i="16"/>
  <c r="O24" i="16"/>
  <c r="T25" i="13"/>
  <c r="N39" i="12"/>
  <c r="I39" i="13" s="1"/>
  <c r="O11" i="13"/>
  <c r="T25" i="12"/>
  <c r="N51" i="11"/>
  <c r="I51" i="12" s="1"/>
  <c r="T50" i="13"/>
  <c r="O50" i="16" s="1"/>
  <c r="O44" i="16"/>
  <c r="I38" i="16"/>
  <c r="I50" i="13"/>
  <c r="I40" i="18"/>
  <c r="N40" i="18" s="1"/>
  <c r="I40" i="19" s="1"/>
  <c r="N44" i="16"/>
  <c r="O45" i="18"/>
  <c r="T45" i="18" s="1"/>
  <c r="O45" i="19" s="1"/>
  <c r="T49" i="16"/>
  <c r="O49" i="18" s="1"/>
  <c r="O20" i="18"/>
  <c r="T20" i="18" s="1"/>
  <c r="O20" i="19" s="1"/>
  <c r="T24" i="16"/>
  <c r="O24" i="18" s="1"/>
  <c r="O38" i="16"/>
  <c r="I26" i="16"/>
  <c r="N26" i="16" s="1"/>
  <c r="N28" i="13"/>
  <c r="I28" i="16" s="1"/>
  <c r="O26" i="16"/>
  <c r="T26" i="16" s="1"/>
  <c r="T28" i="13"/>
  <c r="O28" i="16" s="1"/>
  <c r="O40" i="18"/>
  <c r="T40" i="18" s="1"/>
  <c r="O40" i="19" s="1"/>
  <c r="T44" i="16"/>
  <c r="I34" i="18"/>
  <c r="N34" i="18" s="1"/>
  <c r="I34" i="19" s="1"/>
  <c r="N38" i="16"/>
  <c r="I38" i="18" s="1"/>
  <c r="O34" i="18"/>
  <c r="T34" i="18" s="1"/>
  <c r="O34" i="19" s="1"/>
  <c r="T38" i="16"/>
  <c r="O28" i="13"/>
  <c r="T39" i="12"/>
  <c r="O39" i="13" s="1"/>
  <c r="E25" i="12"/>
  <c r="S25" i="12"/>
  <c r="G25" i="12"/>
  <c r="M39" i="12"/>
  <c r="K51" i="11"/>
  <c r="M50" i="12"/>
  <c r="E51" i="11"/>
  <c r="G50" i="12"/>
  <c r="G39" i="12"/>
  <c r="S50" i="12"/>
  <c r="M51" i="11"/>
  <c r="H35" i="18"/>
  <c r="C35" i="19" s="1"/>
  <c r="H35" i="19" s="1"/>
  <c r="U35" i="16"/>
  <c r="H21" i="18"/>
  <c r="C21" i="19" s="1"/>
  <c r="H21" i="19" s="1"/>
  <c r="U21" i="16"/>
  <c r="G45" i="16"/>
  <c r="G49" i="13"/>
  <c r="S7" i="16"/>
  <c r="S11" i="13"/>
  <c r="M7" i="16"/>
  <c r="M11" i="13"/>
  <c r="G40" i="16"/>
  <c r="G44" i="13"/>
  <c r="M34" i="16"/>
  <c r="M38" i="13"/>
  <c r="M29" i="16"/>
  <c r="M33" i="13"/>
  <c r="M16" i="18"/>
  <c r="M19" i="18" s="1"/>
  <c r="M19" i="16"/>
  <c r="E20" i="18"/>
  <c r="E24" i="18" s="1"/>
  <c r="E24" i="16"/>
  <c r="H27" i="18"/>
  <c r="C27" i="19" s="1"/>
  <c r="H27" i="19" s="1"/>
  <c r="U27" i="16"/>
  <c r="K50" i="12"/>
  <c r="Q45" i="16"/>
  <c r="Q49" i="13"/>
  <c r="M25" i="12"/>
  <c r="H36" i="18"/>
  <c r="C36" i="19" s="1"/>
  <c r="H36" i="19" s="1"/>
  <c r="U36" i="16"/>
  <c r="H16" i="16"/>
  <c r="C16" i="18" s="1"/>
  <c r="H19" i="13"/>
  <c r="C19" i="16" s="1"/>
  <c r="U16" i="13"/>
  <c r="U19" i="13" s="1"/>
  <c r="S16" i="16"/>
  <c r="S19" i="13"/>
  <c r="K7" i="16"/>
  <c r="K11" i="13"/>
  <c r="K29" i="16"/>
  <c r="K33" i="13"/>
  <c r="Q34" i="16"/>
  <c r="Q38" i="13"/>
  <c r="S26" i="16"/>
  <c r="S28" i="13"/>
  <c r="G29" i="18"/>
  <c r="G33" i="18" s="1"/>
  <c r="G33" i="16"/>
  <c r="H7" i="16"/>
  <c r="C7" i="18" s="1"/>
  <c r="H11" i="13"/>
  <c r="C11" i="16" s="1"/>
  <c r="U7" i="13"/>
  <c r="U11" i="13" s="1"/>
  <c r="Q16" i="16"/>
  <c r="Q19" i="13"/>
  <c r="H12" i="16"/>
  <c r="C12" i="18" s="1"/>
  <c r="U12" i="13"/>
  <c r="U15" i="13" s="1"/>
  <c r="H15" i="13"/>
  <c r="C15" i="16" s="1"/>
  <c r="K39" i="12"/>
  <c r="G34" i="16"/>
  <c r="G38" i="13"/>
  <c r="M12" i="16"/>
  <c r="M15" i="13"/>
  <c r="H37" i="18"/>
  <c r="C37" i="19" s="1"/>
  <c r="H37" i="19" s="1"/>
  <c r="U37" i="16"/>
  <c r="H26" i="16"/>
  <c r="C26" i="18" s="1"/>
  <c r="H28" i="13"/>
  <c r="C28" i="16" s="1"/>
  <c r="U26" i="13"/>
  <c r="U28" i="13" s="1"/>
  <c r="Q26" i="16"/>
  <c r="Q28" i="13"/>
  <c r="Q29" i="16"/>
  <c r="Q33" i="13"/>
  <c r="H29" i="18"/>
  <c r="C29" i="19" s="1"/>
  <c r="H33" i="16"/>
  <c r="C33" i="18" s="1"/>
  <c r="U29" i="16"/>
  <c r="Q25" i="12"/>
  <c r="M20" i="16"/>
  <c r="M24" i="13"/>
  <c r="H30" i="18"/>
  <c r="C30" i="19" s="1"/>
  <c r="H30" i="19" s="1"/>
  <c r="U30" i="16"/>
  <c r="S40" i="16"/>
  <c r="S44" i="13"/>
  <c r="Q12" i="16"/>
  <c r="Q15" i="13"/>
  <c r="H8" i="18"/>
  <c r="C8" i="19" s="1"/>
  <c r="H8" i="19" s="1"/>
  <c r="U8" i="16"/>
  <c r="M45" i="16"/>
  <c r="M49" i="13"/>
  <c r="G51" i="11"/>
  <c r="M40" i="16"/>
  <c r="M44" i="13"/>
  <c r="E29" i="16"/>
  <c r="E33" i="13"/>
  <c r="K34" i="16"/>
  <c r="K38" i="13"/>
  <c r="G16" i="18"/>
  <c r="G19" i="18" s="1"/>
  <c r="G19" i="16"/>
  <c r="H48" i="18"/>
  <c r="C48" i="19" s="1"/>
  <c r="H48" i="19" s="1"/>
  <c r="U48" i="16"/>
  <c r="K26" i="16"/>
  <c r="K28" i="13"/>
  <c r="H45" i="13"/>
  <c r="C45" i="16" s="1"/>
  <c r="H49" i="12"/>
  <c r="C49" i="13" s="1"/>
  <c r="U45" i="12"/>
  <c r="U49" i="12" s="1"/>
  <c r="U50" i="12" s="1"/>
  <c r="J55" i="11"/>
  <c r="H32" i="18"/>
  <c r="C32" i="19" s="1"/>
  <c r="H32" i="19" s="1"/>
  <c r="U32" i="16"/>
  <c r="S20" i="16"/>
  <c r="S24" i="13"/>
  <c r="H20" i="16"/>
  <c r="C20" i="18" s="1"/>
  <c r="H24" i="13"/>
  <c r="C24" i="16" s="1"/>
  <c r="U20" i="13"/>
  <c r="U24" i="13" s="1"/>
  <c r="K12" i="16"/>
  <c r="K15" i="13"/>
  <c r="U51" i="11"/>
  <c r="S12" i="16"/>
  <c r="S15" i="13"/>
  <c r="H18" i="18"/>
  <c r="C18" i="19" s="1"/>
  <c r="H18" i="19" s="1"/>
  <c r="U18" i="16"/>
  <c r="S29" i="16"/>
  <c r="S33" i="13"/>
  <c r="E19" i="13"/>
  <c r="E16" i="16"/>
  <c r="S34" i="16"/>
  <c r="S38" i="13"/>
  <c r="Q40" i="16"/>
  <c r="Q44" i="13"/>
  <c r="U25" i="12"/>
  <c r="E12" i="16"/>
  <c r="E15" i="13"/>
  <c r="G26" i="16"/>
  <c r="G28" i="13"/>
  <c r="G12" i="16"/>
  <c r="G15" i="13"/>
  <c r="H39" i="12"/>
  <c r="C39" i="13" s="1"/>
  <c r="H17" i="18"/>
  <c r="C17" i="19" s="1"/>
  <c r="H17" i="19" s="1"/>
  <c r="U17" i="16"/>
  <c r="J55" i="10"/>
  <c r="H46" i="18"/>
  <c r="C46" i="19" s="1"/>
  <c r="H46" i="19" s="1"/>
  <c r="U46" i="16"/>
  <c r="Q7" i="16"/>
  <c r="Q11" i="13"/>
  <c r="G7" i="16"/>
  <c r="G11" i="13"/>
  <c r="E45" i="13"/>
  <c r="E49" i="12"/>
  <c r="E50" i="12" s="1"/>
  <c r="E51" i="12" s="1"/>
  <c r="Q20" i="16"/>
  <c r="Q24" i="13"/>
  <c r="M25" i="13"/>
  <c r="K49" i="13"/>
  <c r="K45" i="16"/>
  <c r="H22" i="18"/>
  <c r="C22" i="19" s="1"/>
  <c r="H22" i="19" s="1"/>
  <c r="U22" i="16"/>
  <c r="G20" i="16"/>
  <c r="G24" i="13"/>
  <c r="U33" i="13"/>
  <c r="H10" i="18"/>
  <c r="C10" i="19" s="1"/>
  <c r="H10" i="19" s="1"/>
  <c r="U10" i="16"/>
  <c r="H47" i="18"/>
  <c r="C47" i="19" s="1"/>
  <c r="H47" i="19" s="1"/>
  <c r="U47" i="16"/>
  <c r="K40" i="16"/>
  <c r="K44" i="13"/>
  <c r="H14" i="18"/>
  <c r="C14" i="19" s="1"/>
  <c r="H14" i="19" s="1"/>
  <c r="U14" i="16"/>
  <c r="E7" i="16"/>
  <c r="E11" i="13"/>
  <c r="K20" i="16"/>
  <c r="K24" i="13"/>
  <c r="K25" i="13" s="1"/>
  <c r="K25" i="12"/>
  <c r="K51" i="12" s="1"/>
  <c r="H9" i="18"/>
  <c r="C9" i="19" s="1"/>
  <c r="H9" i="19" s="1"/>
  <c r="U9" i="16"/>
  <c r="Q39" i="12"/>
  <c r="H34" i="16"/>
  <c r="C34" i="18" s="1"/>
  <c r="H38" i="13"/>
  <c r="C38" i="16" s="1"/>
  <c r="U34" i="13"/>
  <c r="U38" i="13" s="1"/>
  <c r="E26" i="16"/>
  <c r="E28" i="13"/>
  <c r="M26" i="16"/>
  <c r="M28" i="13"/>
  <c r="S39" i="12"/>
  <c r="S51" i="12" s="1"/>
  <c r="H13" i="18"/>
  <c r="C13" i="19" s="1"/>
  <c r="H13" i="19" s="1"/>
  <c r="U13" i="16"/>
  <c r="S45" i="16"/>
  <c r="S49" i="13"/>
  <c r="S50" i="13" s="1"/>
  <c r="H25" i="12"/>
  <c r="C25" i="13" s="1"/>
  <c r="H23" i="18"/>
  <c r="C23" i="19" s="1"/>
  <c r="H23" i="19" s="1"/>
  <c r="U23" i="16"/>
  <c r="K16" i="18"/>
  <c r="K19" i="18" s="1"/>
  <c r="K19" i="16"/>
  <c r="U39" i="12"/>
  <c r="H31" i="18"/>
  <c r="C31" i="19" s="1"/>
  <c r="H31" i="19" s="1"/>
  <c r="U31" i="16"/>
  <c r="H43" i="18"/>
  <c r="C43" i="19" s="1"/>
  <c r="H43" i="19" s="1"/>
  <c r="U43" i="16"/>
  <c r="H42" i="18"/>
  <c r="C42" i="19" s="1"/>
  <c r="H42" i="19" s="1"/>
  <c r="U42" i="16"/>
  <c r="H41" i="18"/>
  <c r="C41" i="19" s="1"/>
  <c r="H41" i="19" s="1"/>
  <c r="U41" i="16"/>
  <c r="H40" i="16"/>
  <c r="C40" i="18" s="1"/>
  <c r="H44" i="13"/>
  <c r="C44" i="16" s="1"/>
  <c r="U40" i="13"/>
  <c r="U44" i="13" s="1"/>
  <c r="H50" i="12"/>
  <c r="C50" i="13" s="1"/>
  <c r="H51" i="11"/>
  <c r="C51" i="12" s="1"/>
  <c r="J56" i="10"/>
  <c r="E40" i="16"/>
  <c r="E44" i="13"/>
  <c r="E34" i="16"/>
  <c r="E38" i="13"/>
  <c r="U17" i="19" l="1"/>
  <c r="C17" i="20"/>
  <c r="H17" i="20" s="1"/>
  <c r="U17" i="20" s="1"/>
  <c r="U37" i="19"/>
  <c r="C37" i="20"/>
  <c r="H37" i="20" s="1"/>
  <c r="U37" i="20" s="1"/>
  <c r="U27" i="19"/>
  <c r="C27" i="20"/>
  <c r="H27" i="20" s="1"/>
  <c r="U27" i="20" s="1"/>
  <c r="U9" i="19"/>
  <c r="C9" i="20"/>
  <c r="H9" i="20" s="1"/>
  <c r="U9" i="20" s="1"/>
  <c r="U18" i="19"/>
  <c r="C18" i="20"/>
  <c r="H18" i="20" s="1"/>
  <c r="U18" i="20" s="1"/>
  <c r="U32" i="19"/>
  <c r="C32" i="20"/>
  <c r="H32" i="20" s="1"/>
  <c r="U32" i="20" s="1"/>
  <c r="U48" i="19"/>
  <c r="C48" i="20"/>
  <c r="H48" i="20" s="1"/>
  <c r="U48" i="20" s="1"/>
  <c r="U36" i="19"/>
  <c r="C36" i="20"/>
  <c r="H36" i="20" s="1"/>
  <c r="U36" i="20" s="1"/>
  <c r="U21" i="19"/>
  <c r="C21" i="20"/>
  <c r="H21" i="20" s="1"/>
  <c r="U21" i="20" s="1"/>
  <c r="N19" i="19"/>
  <c r="I16" i="20"/>
  <c r="U23" i="19"/>
  <c r="C23" i="20"/>
  <c r="H23" i="20" s="1"/>
  <c r="U23" i="20" s="1"/>
  <c r="U41" i="19"/>
  <c r="C41" i="20"/>
  <c r="H41" i="20" s="1"/>
  <c r="U41" i="20" s="1"/>
  <c r="U43" i="19"/>
  <c r="C43" i="20"/>
  <c r="H43" i="20" s="1"/>
  <c r="U43" i="20" s="1"/>
  <c r="U13" i="19"/>
  <c r="C13" i="20"/>
  <c r="H13" i="20" s="1"/>
  <c r="U13" i="20" s="1"/>
  <c r="U10" i="19"/>
  <c r="C10" i="20"/>
  <c r="H10" i="20" s="1"/>
  <c r="U10" i="20" s="1"/>
  <c r="U8" i="19"/>
  <c r="C8" i="20"/>
  <c r="H8" i="20" s="1"/>
  <c r="U8" i="20" s="1"/>
  <c r="U22" i="19"/>
  <c r="C22" i="20"/>
  <c r="H22" i="20" s="1"/>
  <c r="U22" i="20" s="1"/>
  <c r="U35" i="19"/>
  <c r="C35" i="20"/>
  <c r="H35" i="20" s="1"/>
  <c r="U35" i="20" s="1"/>
  <c r="U42" i="19"/>
  <c r="C42" i="20"/>
  <c r="H42" i="20" s="1"/>
  <c r="U42" i="20" s="1"/>
  <c r="U31" i="19"/>
  <c r="C31" i="20"/>
  <c r="H31" i="20" s="1"/>
  <c r="U31" i="20" s="1"/>
  <c r="U14" i="19"/>
  <c r="C14" i="20"/>
  <c r="H14" i="20" s="1"/>
  <c r="U14" i="20" s="1"/>
  <c r="U47" i="19"/>
  <c r="C47" i="20"/>
  <c r="H47" i="20" s="1"/>
  <c r="U47" i="20" s="1"/>
  <c r="U46" i="19"/>
  <c r="C46" i="20"/>
  <c r="H46" i="20" s="1"/>
  <c r="U46" i="20" s="1"/>
  <c r="U30" i="19"/>
  <c r="C30" i="20"/>
  <c r="H30" i="20" s="1"/>
  <c r="U30" i="20" s="1"/>
  <c r="N11" i="19"/>
  <c r="I7" i="20"/>
  <c r="O24" i="19"/>
  <c r="T20" i="19"/>
  <c r="I44" i="19"/>
  <c r="N40" i="19"/>
  <c r="N29" i="19"/>
  <c r="I33" i="19"/>
  <c r="T12" i="19"/>
  <c r="O15" i="19"/>
  <c r="O33" i="19"/>
  <c r="T29" i="19"/>
  <c r="C33" i="19"/>
  <c r="H29" i="19"/>
  <c r="C29" i="20" s="1"/>
  <c r="O38" i="19"/>
  <c r="T34" i="19"/>
  <c r="O44" i="19"/>
  <c r="T40" i="19"/>
  <c r="O49" i="19"/>
  <c r="T45" i="19"/>
  <c r="N45" i="19"/>
  <c r="I49" i="19"/>
  <c r="N12" i="19"/>
  <c r="I15" i="19"/>
  <c r="N34" i="19"/>
  <c r="I38" i="19"/>
  <c r="U22" i="18"/>
  <c r="U17" i="18"/>
  <c r="U37" i="18"/>
  <c r="U27" i="18"/>
  <c r="T49" i="18"/>
  <c r="N49" i="18"/>
  <c r="N15" i="18"/>
  <c r="U31" i="18"/>
  <c r="U14" i="18"/>
  <c r="U46" i="18"/>
  <c r="U30" i="18"/>
  <c r="N38" i="18"/>
  <c r="U47" i="18"/>
  <c r="U23" i="18"/>
  <c r="U9" i="18"/>
  <c r="U18" i="18"/>
  <c r="U32" i="18"/>
  <c r="U48" i="18"/>
  <c r="U21" i="18"/>
  <c r="T24" i="18"/>
  <c r="N44" i="18"/>
  <c r="N33" i="18"/>
  <c r="T15" i="18"/>
  <c r="T33" i="18"/>
  <c r="U13" i="18"/>
  <c r="U10" i="18"/>
  <c r="U8" i="18"/>
  <c r="T38" i="18"/>
  <c r="T44" i="18"/>
  <c r="T39" i="13"/>
  <c r="O39" i="16" s="1"/>
  <c r="N51" i="12"/>
  <c r="I51" i="13" s="1"/>
  <c r="O38" i="18"/>
  <c r="T50" i="16"/>
  <c r="O44" i="18"/>
  <c r="N50" i="16"/>
  <c r="I44" i="18"/>
  <c r="N39" i="13"/>
  <c r="T51" i="13"/>
  <c r="O51" i="16" s="1"/>
  <c r="O25" i="16"/>
  <c r="I26" i="18"/>
  <c r="N26" i="18" s="1"/>
  <c r="I26" i="19" s="1"/>
  <c r="N28" i="16"/>
  <c r="O25" i="13"/>
  <c r="T51" i="12"/>
  <c r="O51" i="13" s="1"/>
  <c r="O16" i="18"/>
  <c r="T16" i="18" s="1"/>
  <c r="O16" i="19" s="1"/>
  <c r="T19" i="16"/>
  <c r="O19" i="18" s="1"/>
  <c r="O7" i="18"/>
  <c r="T7" i="18" s="1"/>
  <c r="O7" i="19" s="1"/>
  <c r="T11" i="16"/>
  <c r="O11" i="18" s="1"/>
  <c r="O15" i="18"/>
  <c r="I24" i="16"/>
  <c r="N25" i="13"/>
  <c r="I25" i="16" s="1"/>
  <c r="O26" i="18"/>
  <c r="T26" i="18" s="1"/>
  <c r="O26" i="19" s="1"/>
  <c r="T28" i="16"/>
  <c r="O28" i="18" s="1"/>
  <c r="I20" i="18"/>
  <c r="N20" i="18" s="1"/>
  <c r="I20" i="19" s="1"/>
  <c r="N24" i="16"/>
  <c r="M51" i="12"/>
  <c r="E39" i="13"/>
  <c r="Q25" i="13"/>
  <c r="G50" i="13"/>
  <c r="U39" i="13"/>
  <c r="G25" i="13"/>
  <c r="S39" i="13"/>
  <c r="S25" i="13"/>
  <c r="G51" i="12"/>
  <c r="K39" i="13"/>
  <c r="U51" i="12"/>
  <c r="U35" i="18"/>
  <c r="E26" i="18"/>
  <c r="E28" i="18" s="1"/>
  <c r="E28" i="16"/>
  <c r="H34" i="18"/>
  <c r="C34" i="19" s="1"/>
  <c r="U34" i="16"/>
  <c r="U38" i="16" s="1"/>
  <c r="H38" i="16"/>
  <c r="C38" i="18" s="1"/>
  <c r="Q20" i="18"/>
  <c r="Q24" i="18" s="1"/>
  <c r="Q24" i="16"/>
  <c r="Q7" i="18"/>
  <c r="Q11" i="18" s="1"/>
  <c r="Q11" i="16"/>
  <c r="E12" i="18"/>
  <c r="E15" i="18" s="1"/>
  <c r="E15" i="16"/>
  <c r="Q40" i="18"/>
  <c r="Q44" i="18" s="1"/>
  <c r="Q44" i="16"/>
  <c r="U25" i="13"/>
  <c r="K26" i="18"/>
  <c r="K28" i="18" s="1"/>
  <c r="K28" i="16"/>
  <c r="M50" i="13"/>
  <c r="Q51" i="12"/>
  <c r="J55" i="12" s="1"/>
  <c r="U29" i="18"/>
  <c r="H33" i="18"/>
  <c r="G39" i="13"/>
  <c r="Q39" i="13"/>
  <c r="K29" i="18"/>
  <c r="K33" i="18" s="1"/>
  <c r="K33" i="16"/>
  <c r="M29" i="18"/>
  <c r="M33" i="18" s="1"/>
  <c r="M33" i="16"/>
  <c r="M26" i="18"/>
  <c r="M28" i="18" s="1"/>
  <c r="M28" i="16"/>
  <c r="E7" i="18"/>
  <c r="E11" i="18" s="1"/>
  <c r="E11" i="16"/>
  <c r="K50" i="13"/>
  <c r="G7" i="18"/>
  <c r="G11" i="18" s="1"/>
  <c r="G11" i="16"/>
  <c r="G26" i="18"/>
  <c r="G28" i="18" s="1"/>
  <c r="G28" i="16"/>
  <c r="E19" i="16"/>
  <c r="E16" i="18"/>
  <c r="E19" i="18" s="1"/>
  <c r="S29" i="18"/>
  <c r="S33" i="18" s="1"/>
  <c r="S33" i="16"/>
  <c r="S20" i="18"/>
  <c r="S24" i="18" s="1"/>
  <c r="S24" i="16"/>
  <c r="M40" i="18"/>
  <c r="M44" i="18" s="1"/>
  <c r="M44" i="16"/>
  <c r="M45" i="18"/>
  <c r="M49" i="18" s="1"/>
  <c r="M49" i="16"/>
  <c r="S40" i="18"/>
  <c r="S44" i="18" s="1"/>
  <c r="S44" i="16"/>
  <c r="Q26" i="18"/>
  <c r="Q28" i="18" s="1"/>
  <c r="Q28" i="16"/>
  <c r="G34" i="18"/>
  <c r="G38" i="18" s="1"/>
  <c r="G39" i="18" s="1"/>
  <c r="G38" i="16"/>
  <c r="G39" i="16" s="1"/>
  <c r="Q16" i="18"/>
  <c r="Q19" i="18" s="1"/>
  <c r="Q19" i="16"/>
  <c r="Q34" i="18"/>
  <c r="Q38" i="18" s="1"/>
  <c r="Q38" i="16"/>
  <c r="H16" i="18"/>
  <c r="C16" i="19" s="1"/>
  <c r="H19" i="16"/>
  <c r="C19" i="18" s="1"/>
  <c r="U16" i="16"/>
  <c r="U19" i="16" s="1"/>
  <c r="Q50" i="13"/>
  <c r="G45" i="18"/>
  <c r="G49" i="18" s="1"/>
  <c r="G49" i="16"/>
  <c r="K24" i="16"/>
  <c r="K20" i="18"/>
  <c r="K24" i="18" s="1"/>
  <c r="G12" i="18"/>
  <c r="G15" i="18" s="1"/>
  <c r="G15" i="16"/>
  <c r="S12" i="18"/>
  <c r="S15" i="18" s="1"/>
  <c r="S15" i="16"/>
  <c r="K12" i="18"/>
  <c r="K15" i="18" s="1"/>
  <c r="K15" i="16"/>
  <c r="H25" i="13"/>
  <c r="C25" i="16" s="1"/>
  <c r="H45" i="16"/>
  <c r="C45" i="18" s="1"/>
  <c r="U45" i="13"/>
  <c r="U49" i="13" s="1"/>
  <c r="U50" i="13" s="1"/>
  <c r="H49" i="13"/>
  <c r="C49" i="16" s="1"/>
  <c r="E29" i="18"/>
  <c r="E33" i="18" s="1"/>
  <c r="E33" i="16"/>
  <c r="Q12" i="18"/>
  <c r="Q15" i="18" s="1"/>
  <c r="Q15" i="16"/>
  <c r="M20" i="18"/>
  <c r="M24" i="18" s="1"/>
  <c r="M24" i="16"/>
  <c r="U33" i="16"/>
  <c r="Q29" i="18"/>
  <c r="Q33" i="18" s="1"/>
  <c r="Q33" i="16"/>
  <c r="H26" i="18"/>
  <c r="C26" i="19" s="1"/>
  <c r="H28" i="16"/>
  <c r="C28" i="18" s="1"/>
  <c r="U26" i="16"/>
  <c r="U28" i="16" s="1"/>
  <c r="M12" i="18"/>
  <c r="M15" i="18" s="1"/>
  <c r="M15" i="16"/>
  <c r="H7" i="18"/>
  <c r="C7" i="19" s="1"/>
  <c r="H11" i="16"/>
  <c r="C11" i="18" s="1"/>
  <c r="U7" i="16"/>
  <c r="U11" i="16" s="1"/>
  <c r="S26" i="18"/>
  <c r="S28" i="18" s="1"/>
  <c r="S28" i="16"/>
  <c r="Q45" i="18"/>
  <c r="Q49" i="18" s="1"/>
  <c r="Q49" i="16"/>
  <c r="Q50" i="16" s="1"/>
  <c r="M39" i="13"/>
  <c r="M51" i="13" s="1"/>
  <c r="G40" i="18"/>
  <c r="G44" i="18" s="1"/>
  <c r="G44" i="16"/>
  <c r="S7" i="18"/>
  <c r="S11" i="18" s="1"/>
  <c r="S11" i="16"/>
  <c r="S45" i="18"/>
  <c r="S49" i="18" s="1"/>
  <c r="S49" i="16"/>
  <c r="S50" i="16" s="1"/>
  <c r="H39" i="13"/>
  <c r="C39" i="16" s="1"/>
  <c r="K40" i="18"/>
  <c r="K44" i="18" s="1"/>
  <c r="K44" i="16"/>
  <c r="G20" i="18"/>
  <c r="G24" i="18" s="1"/>
  <c r="G24" i="16"/>
  <c r="K49" i="16"/>
  <c r="K45" i="18"/>
  <c r="K49" i="18" s="1"/>
  <c r="E49" i="13"/>
  <c r="E50" i="13" s="1"/>
  <c r="E45" i="16"/>
  <c r="S34" i="18"/>
  <c r="S38" i="18" s="1"/>
  <c r="S38" i="16"/>
  <c r="E25" i="13"/>
  <c r="H20" i="18"/>
  <c r="C20" i="19" s="1"/>
  <c r="U20" i="16"/>
  <c r="U24" i="16" s="1"/>
  <c r="H24" i="16"/>
  <c r="C24" i="18" s="1"/>
  <c r="K34" i="18"/>
  <c r="K38" i="18" s="1"/>
  <c r="K39" i="18" s="1"/>
  <c r="K38" i="16"/>
  <c r="K39" i="16" s="1"/>
  <c r="H12" i="18"/>
  <c r="C12" i="19" s="1"/>
  <c r="U12" i="16"/>
  <c r="U15" i="16" s="1"/>
  <c r="H15" i="16"/>
  <c r="C15" i="18" s="1"/>
  <c r="K7" i="18"/>
  <c r="K11" i="18" s="1"/>
  <c r="K11" i="16"/>
  <c r="S19" i="16"/>
  <c r="S16" i="18"/>
  <c r="S19" i="18" s="1"/>
  <c r="U36" i="18"/>
  <c r="M34" i="18"/>
  <c r="M38" i="18" s="1"/>
  <c r="M39" i="18" s="1"/>
  <c r="M38" i="16"/>
  <c r="M39" i="16" s="1"/>
  <c r="M7" i="18"/>
  <c r="M11" i="18" s="1"/>
  <c r="M11" i="16"/>
  <c r="U43" i="18"/>
  <c r="U42" i="18"/>
  <c r="U41" i="18"/>
  <c r="E40" i="18"/>
  <c r="E44" i="18" s="1"/>
  <c r="E44" i="16"/>
  <c r="H51" i="12"/>
  <c r="C51" i="13" s="1"/>
  <c r="J56" i="11"/>
  <c r="H40" i="18"/>
  <c r="C40" i="19" s="1"/>
  <c r="U40" i="16"/>
  <c r="U44" i="16" s="1"/>
  <c r="H44" i="16"/>
  <c r="C44" i="18" s="1"/>
  <c r="E34" i="18"/>
  <c r="E38" i="18" s="1"/>
  <c r="E38" i="16"/>
  <c r="E39" i="16" s="1"/>
  <c r="T49" i="19" l="1"/>
  <c r="O45" i="20"/>
  <c r="T38" i="19"/>
  <c r="O34" i="20"/>
  <c r="T33" i="19"/>
  <c r="O29" i="20"/>
  <c r="T24" i="19"/>
  <c r="O20" i="20"/>
  <c r="I19" i="20"/>
  <c r="N16" i="20"/>
  <c r="N19" i="20" s="1"/>
  <c r="N15" i="19"/>
  <c r="I12" i="20"/>
  <c r="N33" i="19"/>
  <c r="I29" i="20"/>
  <c r="T44" i="19"/>
  <c r="O40" i="20"/>
  <c r="H29" i="20"/>
  <c r="C33" i="20"/>
  <c r="N44" i="19"/>
  <c r="I40" i="20"/>
  <c r="I11" i="20"/>
  <c r="N7" i="20"/>
  <c r="N11" i="20" s="1"/>
  <c r="N38" i="19"/>
  <c r="I34" i="20"/>
  <c r="N49" i="19"/>
  <c r="I45" i="20"/>
  <c r="T15" i="19"/>
  <c r="O12" i="20"/>
  <c r="I50" i="19"/>
  <c r="O50" i="19"/>
  <c r="C15" i="19"/>
  <c r="H12" i="19"/>
  <c r="C12" i="20" s="1"/>
  <c r="C28" i="19"/>
  <c r="H26" i="19"/>
  <c r="C26" i="20" s="1"/>
  <c r="C38" i="19"/>
  <c r="H34" i="19"/>
  <c r="C34" i="20" s="1"/>
  <c r="N20" i="19"/>
  <c r="I24" i="19"/>
  <c r="I25" i="19" s="1"/>
  <c r="O28" i="19"/>
  <c r="O39" i="19" s="1"/>
  <c r="T26" i="19"/>
  <c r="C44" i="19"/>
  <c r="H40" i="19"/>
  <c r="C40" i="20" s="1"/>
  <c r="C24" i="19"/>
  <c r="H20" i="19"/>
  <c r="C20" i="20" s="1"/>
  <c r="T16" i="19"/>
  <c r="O19" i="19"/>
  <c r="I28" i="19"/>
  <c r="I39" i="19" s="1"/>
  <c r="N26" i="19"/>
  <c r="C11" i="19"/>
  <c r="H7" i="19"/>
  <c r="C7" i="20" s="1"/>
  <c r="H16" i="19"/>
  <c r="C16" i="20" s="1"/>
  <c r="C19" i="19"/>
  <c r="T7" i="19"/>
  <c r="O11" i="19"/>
  <c r="U29" i="19"/>
  <c r="U33" i="19" s="1"/>
  <c r="H33" i="19"/>
  <c r="T50" i="18"/>
  <c r="U33" i="18"/>
  <c r="T19" i="18"/>
  <c r="N28" i="18"/>
  <c r="T28" i="18"/>
  <c r="N24" i="18"/>
  <c r="T11" i="18"/>
  <c r="N50" i="18"/>
  <c r="N39" i="16"/>
  <c r="I39" i="18" s="1"/>
  <c r="I28" i="18"/>
  <c r="N51" i="13"/>
  <c r="I51" i="16" s="1"/>
  <c r="I39" i="16"/>
  <c r="O50" i="18"/>
  <c r="N25" i="16"/>
  <c r="I25" i="18" s="1"/>
  <c r="I24" i="18"/>
  <c r="T25" i="16"/>
  <c r="O25" i="18" s="1"/>
  <c r="I50" i="18"/>
  <c r="T39" i="16"/>
  <c r="O39" i="18" s="1"/>
  <c r="Q50" i="18"/>
  <c r="E39" i="18"/>
  <c r="G25" i="18"/>
  <c r="H50" i="13"/>
  <c r="C50" i="16" s="1"/>
  <c r="G25" i="16"/>
  <c r="S39" i="18"/>
  <c r="U51" i="13"/>
  <c r="K51" i="13"/>
  <c r="S39" i="16"/>
  <c r="E25" i="16"/>
  <c r="G51" i="13"/>
  <c r="S51" i="13"/>
  <c r="U25" i="16"/>
  <c r="S25" i="16"/>
  <c r="E51" i="13"/>
  <c r="Q51" i="13"/>
  <c r="K50" i="16"/>
  <c r="H15" i="18"/>
  <c r="U12" i="18"/>
  <c r="U15" i="18" s="1"/>
  <c r="H25" i="16"/>
  <c r="C25" i="18" s="1"/>
  <c r="G50" i="18"/>
  <c r="H19" i="18"/>
  <c r="U16" i="18"/>
  <c r="U19" i="18" s="1"/>
  <c r="M50" i="18"/>
  <c r="Q25" i="16"/>
  <c r="U39" i="16"/>
  <c r="K50" i="18"/>
  <c r="H28" i="18"/>
  <c r="U26" i="18"/>
  <c r="U28" i="18" s="1"/>
  <c r="M25" i="16"/>
  <c r="K25" i="18"/>
  <c r="Q39" i="16"/>
  <c r="E25" i="18"/>
  <c r="Q25" i="18"/>
  <c r="U34" i="18"/>
  <c r="U38" i="18" s="1"/>
  <c r="H38" i="18"/>
  <c r="H24" i="18"/>
  <c r="U20" i="18"/>
  <c r="U24" i="18" s="1"/>
  <c r="E45" i="18"/>
  <c r="E49" i="18" s="1"/>
  <c r="E50" i="18" s="1"/>
  <c r="E49" i="16"/>
  <c r="E50" i="16" s="1"/>
  <c r="E51" i="16" s="1"/>
  <c r="S25" i="18"/>
  <c r="M25" i="18"/>
  <c r="K25" i="16"/>
  <c r="Q39" i="18"/>
  <c r="S50" i="18"/>
  <c r="U7" i="18"/>
  <c r="U11" i="18" s="1"/>
  <c r="H11" i="18"/>
  <c r="H45" i="18"/>
  <c r="C45" i="19" s="1"/>
  <c r="U45" i="16"/>
  <c r="U49" i="16" s="1"/>
  <c r="U50" i="16" s="1"/>
  <c r="H49" i="16"/>
  <c r="C49" i="18" s="1"/>
  <c r="G50" i="16"/>
  <c r="G51" i="16" s="1"/>
  <c r="M50" i="16"/>
  <c r="H39" i="16"/>
  <c r="C39" i="18" s="1"/>
  <c r="J56" i="12"/>
  <c r="U40" i="18"/>
  <c r="U44" i="18" s="1"/>
  <c r="H44" i="18"/>
  <c r="I51" i="19" l="1"/>
  <c r="N28" i="19"/>
  <c r="N39" i="19" s="1"/>
  <c r="I26" i="20"/>
  <c r="T28" i="19"/>
  <c r="T39" i="19" s="1"/>
  <c r="O26" i="20"/>
  <c r="O15" i="20"/>
  <c r="T12" i="20"/>
  <c r="T15" i="20" s="1"/>
  <c r="O44" i="20"/>
  <c r="T40" i="20"/>
  <c r="T44" i="20" s="1"/>
  <c r="N12" i="20"/>
  <c r="N15" i="20" s="1"/>
  <c r="I15" i="20"/>
  <c r="C19" i="20"/>
  <c r="H16" i="20"/>
  <c r="H20" i="20"/>
  <c r="C24" i="20"/>
  <c r="C15" i="20"/>
  <c r="H12" i="20"/>
  <c r="I44" i="20"/>
  <c r="N40" i="20"/>
  <c r="N44" i="20" s="1"/>
  <c r="T20" i="20"/>
  <c r="T24" i="20" s="1"/>
  <c r="O24" i="20"/>
  <c r="H7" i="20"/>
  <c r="C11" i="20"/>
  <c r="C44" i="20"/>
  <c r="H40" i="20"/>
  <c r="H26" i="20"/>
  <c r="C28" i="20"/>
  <c r="N45" i="20"/>
  <c r="N49" i="20" s="1"/>
  <c r="I49" i="20"/>
  <c r="N29" i="20"/>
  <c r="N33" i="20" s="1"/>
  <c r="I33" i="20"/>
  <c r="O33" i="20"/>
  <c r="T29" i="20"/>
  <c r="T33" i="20" s="1"/>
  <c r="O49" i="20"/>
  <c r="O50" i="20" s="1"/>
  <c r="T45" i="20"/>
  <c r="T49" i="20" s="1"/>
  <c r="C38" i="20"/>
  <c r="H34" i="20"/>
  <c r="I38" i="20"/>
  <c r="N34" i="20"/>
  <c r="N38" i="20" s="1"/>
  <c r="O38" i="20"/>
  <c r="T34" i="20"/>
  <c r="T38" i="20" s="1"/>
  <c r="T11" i="19"/>
  <c r="O7" i="20"/>
  <c r="T19" i="19"/>
  <c r="O16" i="20"/>
  <c r="N24" i="19"/>
  <c r="N25" i="19" s="1"/>
  <c r="I20" i="20"/>
  <c r="N50" i="19"/>
  <c r="H33" i="20"/>
  <c r="T50" i="19"/>
  <c r="C39" i="19"/>
  <c r="O25" i="19"/>
  <c r="O51" i="19" s="1"/>
  <c r="H11" i="19"/>
  <c r="U7" i="19"/>
  <c r="U11" i="19" s="1"/>
  <c r="C25" i="19"/>
  <c r="U34" i="19"/>
  <c r="U38" i="19" s="1"/>
  <c r="H38" i="19"/>
  <c r="U12" i="19"/>
  <c r="U15" i="19" s="1"/>
  <c r="H15" i="19"/>
  <c r="H44" i="19"/>
  <c r="U40" i="19"/>
  <c r="U44" i="19" s="1"/>
  <c r="U26" i="19"/>
  <c r="U28" i="19" s="1"/>
  <c r="H28" i="19"/>
  <c r="C49" i="19"/>
  <c r="C50" i="19" s="1"/>
  <c r="H45" i="19"/>
  <c r="C45" i="20" s="1"/>
  <c r="U16" i="19"/>
  <c r="U19" i="19" s="1"/>
  <c r="H19" i="19"/>
  <c r="U20" i="19"/>
  <c r="U24" i="19" s="1"/>
  <c r="H24" i="19"/>
  <c r="H51" i="13"/>
  <c r="C51" i="16" s="1"/>
  <c r="T39" i="18"/>
  <c r="N25" i="18"/>
  <c r="T25" i="18"/>
  <c r="N39" i="18"/>
  <c r="T51" i="16"/>
  <c r="O51" i="18" s="1"/>
  <c r="N51" i="16"/>
  <c r="I51" i="18" s="1"/>
  <c r="G51" i="18"/>
  <c r="Q51" i="16"/>
  <c r="S51" i="16"/>
  <c r="H50" i="16"/>
  <c r="H39" i="18"/>
  <c r="J55" i="13"/>
  <c r="U51" i="16"/>
  <c r="M51" i="16"/>
  <c r="S51" i="18"/>
  <c r="K51" i="16"/>
  <c r="Q51" i="18"/>
  <c r="E51" i="18"/>
  <c r="U39" i="18"/>
  <c r="H49" i="18"/>
  <c r="U45" i="18"/>
  <c r="U49" i="18" s="1"/>
  <c r="U50" i="18" s="1"/>
  <c r="U25" i="18"/>
  <c r="H25" i="18"/>
  <c r="K51" i="18"/>
  <c r="M51" i="18"/>
  <c r="C39" i="20" l="1"/>
  <c r="N50" i="20"/>
  <c r="T25" i="19"/>
  <c r="T51" i="19" s="1"/>
  <c r="I50" i="20"/>
  <c r="H15" i="20"/>
  <c r="U12" i="20"/>
  <c r="U15" i="20" s="1"/>
  <c r="T26" i="20"/>
  <c r="T28" i="20" s="1"/>
  <c r="T39" i="20" s="1"/>
  <c r="O28" i="20"/>
  <c r="O39" i="20" s="1"/>
  <c r="C49" i="20"/>
  <c r="C50" i="20" s="1"/>
  <c r="H45" i="20"/>
  <c r="H38" i="20"/>
  <c r="U34" i="20"/>
  <c r="U38" i="20" s="1"/>
  <c r="H44" i="20"/>
  <c r="U40" i="20"/>
  <c r="U44" i="20" s="1"/>
  <c r="H19" i="20"/>
  <c r="I24" i="20"/>
  <c r="I25" i="20" s="1"/>
  <c r="N20" i="20"/>
  <c r="N24" i="20" s="1"/>
  <c r="N25" i="20" s="1"/>
  <c r="O11" i="20"/>
  <c r="T7" i="20"/>
  <c r="T11" i="20" s="1"/>
  <c r="T50" i="20"/>
  <c r="C25" i="20"/>
  <c r="I28" i="20"/>
  <c r="I39" i="20" s="1"/>
  <c r="N26" i="20"/>
  <c r="N28" i="20" s="1"/>
  <c r="N39" i="20" s="1"/>
  <c r="O19" i="20"/>
  <c r="T16" i="20"/>
  <c r="T19" i="20" s="1"/>
  <c r="U29" i="20"/>
  <c r="U33" i="20" s="1"/>
  <c r="H28" i="20"/>
  <c r="H11" i="20"/>
  <c r="H24" i="20"/>
  <c r="N51" i="19"/>
  <c r="J56" i="13"/>
  <c r="U39" i="19"/>
  <c r="H25" i="19"/>
  <c r="U45" i="19"/>
  <c r="U49" i="19" s="1"/>
  <c r="U50" i="19" s="1"/>
  <c r="H49" i="19"/>
  <c r="H50" i="19" s="1"/>
  <c r="U25" i="19"/>
  <c r="C51" i="19"/>
  <c r="H39" i="19"/>
  <c r="H50" i="18"/>
  <c r="H51" i="18" s="1"/>
  <c r="T51" i="18"/>
  <c r="N51" i="18"/>
  <c r="H51" i="16"/>
  <c r="C51" i="18" s="1"/>
  <c r="C50" i="18"/>
  <c r="J55" i="16"/>
  <c r="U51" i="18"/>
  <c r="J54" i="18"/>
  <c r="U7" i="20" l="1"/>
  <c r="U11" i="20" s="1"/>
  <c r="T25" i="20"/>
  <c r="T51" i="20" s="1"/>
  <c r="N51" i="20"/>
  <c r="I51" i="20"/>
  <c r="O25" i="20"/>
  <c r="O51" i="20" s="1"/>
  <c r="C51" i="20"/>
  <c r="H49" i="20"/>
  <c r="H50" i="20" s="1"/>
  <c r="U45" i="20"/>
  <c r="U49" i="20" s="1"/>
  <c r="U50" i="20" s="1"/>
  <c r="H25" i="20"/>
  <c r="U26" i="20"/>
  <c r="U28" i="20" s="1"/>
  <c r="U39" i="20" s="1"/>
  <c r="U16" i="20"/>
  <c r="U19" i="20" s="1"/>
  <c r="U20" i="20"/>
  <c r="U24" i="20" s="1"/>
  <c r="H39" i="20"/>
  <c r="H51" i="19"/>
  <c r="J55" i="19" s="1"/>
  <c r="U51" i="19"/>
  <c r="J56" i="16"/>
  <c r="J55" i="18"/>
  <c r="H51" i="20" l="1"/>
  <c r="J55" i="20" s="1"/>
  <c r="U25" i="20"/>
  <c r="U51" i="20" s="1"/>
</calcChain>
</file>

<file path=xl/sharedStrings.xml><?xml version="1.0" encoding="utf-8"?>
<sst xmlns="http://schemas.openxmlformats.org/spreadsheetml/2006/main" count="1068" uniqueCount="81">
  <si>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</si>
  <si>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</si>
  <si>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</si>
  <si>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</si>
  <si>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</si>
  <si>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</si>
  <si>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</si>
  <si>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</si>
  <si>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</si>
  <si>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</si>
  <si>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</si>
  <si>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</si>
  <si>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</si>
  <si>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</si>
  <si>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</si>
  <si>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</si>
  <si>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</si>
  <si>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</si>
  <si>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</si>
  <si>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</si>
  <si>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</si>
  <si>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</si>
  <si>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</si>
  <si>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</si>
  <si>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</si>
  <si>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</si>
  <si>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</si>
  <si>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</si>
  <si>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</si>
  <si>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</si>
  <si>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</si>
  <si>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</si>
  <si>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</si>
  <si>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</si>
  <si>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</si>
  <si>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</si>
  <si>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Magadi</t>
  </si>
  <si>
    <t>Kanakpura</t>
  </si>
  <si>
    <t>Chandapura</t>
  </si>
  <si>
    <t>Ramanagar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</si>
  <si>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</si>
  <si>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</si>
  <si>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</si>
  <si>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</si>
  <si>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</si>
  <si>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</si>
  <si>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</si>
  <si>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</si>
  <si>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</si>
  <si>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</si>
  <si>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</si>
  <si>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</si>
  <si>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</si>
  <si>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</si>
  <si>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</si>
  <si>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</si>
  <si>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</si>
  <si>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</si>
  <si>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</si>
  <si>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</si>
  <si>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</si>
  <si>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Division-wise HT Overhead lines, U.G. &amp; ABC Cables added &amp; dismantled during the month of  April 2023 &amp; during the Year 2023-24 in Route km</t>
  </si>
  <si>
    <t>Division-wise HT Overhead lines, U.G. &amp; ABC Cables added &amp; dismantled during the month of May 2023 &amp; during the Year 2023-24 in Route km</t>
  </si>
  <si>
    <t>Division-wise HT Overhead lines, U.G. &amp; ABC Cables added &amp; dismantled during the month of June 2023 &amp; during the Year 2023-24 in Route km</t>
  </si>
  <si>
    <t>Division-wise HT Overhead lines, U.G. &amp; ABC Cables added &amp; dismantled during the month of  March 2023 &amp; during the Year 2022-23 in Route km</t>
  </si>
  <si>
    <t>Division-wise HT Overhead lines, U.G. &amp; ABC Cables added &amp; dismantled during the month of July 2023 &amp; during the Year 2023-24 in Route km</t>
  </si>
  <si>
    <t>Division-wise HT Overhead lines, U.G. &amp; ABC Cables added &amp; dismantled during the month of August 2023 &amp; during the Year 2023-24 in Route km</t>
  </si>
  <si>
    <t>Division-wise HT Overhead lines, U.G. &amp; ABC Cables added &amp; dismantled during the month of September 2023 &amp; during the Year 2023-24 in Route km</t>
  </si>
  <si>
    <t>Division-wise HT Overhead lines, U.G. &amp; ABC Cables added &amp; dismantled during the month of October 2023 &amp; during the Year 2023-24 in Route km</t>
  </si>
  <si>
    <t>Division-wise HT Overhead lines, U.G. &amp; ABC Cables added &amp; dismantled during the month of November 2023 &amp; during the Year 2023-24 in Route km</t>
  </si>
  <si>
    <t>Division-wise HT Overhead lines, U.G. &amp; ABC Cables added &amp; dismantled during the month of December 2023 &amp; during the Year 2023-24 in Route km</t>
  </si>
  <si>
    <t>Division-wise HT Overhead lines, U.G. &amp; ABC Cables added &amp; dismantled during the month of Janaury 2024 &amp; during the Year 2023-24 in Route km</t>
  </si>
  <si>
    <t xml:space="preserve">Note: The data of  Tumkur and Kolar circle is reconciled </t>
  </si>
  <si>
    <t xml:space="preserve">Note: The data of  Tumkur and Kolar circle is reconciled during the month of January 2024  as per the signed copies furnished by circles dated 26-02-2024.  </t>
  </si>
  <si>
    <t>Assistant General Manager(Op-4)</t>
  </si>
  <si>
    <t>Deputy General Manager(Op-1)</t>
  </si>
  <si>
    <t>BESCOM</t>
  </si>
  <si>
    <t>Chief General Manager,</t>
  </si>
  <si>
    <t>Operations, BESCOM</t>
  </si>
  <si>
    <t>Division-wise HT Overhead lines, U.G. &amp; ABC Cables added &amp; dismantled during the month of February 2024 &amp; during the Year 2023-24 in Route km</t>
  </si>
  <si>
    <t>Division-wise HT Overhead lines, U.G. &amp; ABC Cables added &amp; dismantled during the month of March 2024 &amp; during the Year 2023-24 in Route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</si>
</sst>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&quot;\&quot;#,##0.00;[Red]\-&quot;\&quot;#,##0.00"/>
    <numFmt numFmtId="169" formatCode="_(* #,##0.00_);_(* \(#,##0.00\);_(* &quot;-&quot;??_);_(@_)"/>
    <numFmt numFmtId="170" formatCode="_(&quot;$&quot;* #,##0.00_);_(&quot;$&quot;* \(#,##0.00\);_(&quot;$&quot;* &quot;-&quot;??_);_(@_)"/>
    <numFmt numFmtId="171" formatCode="_([$€-2]* #,##0.00_);_([$€-2]* \(#,##0.00\);_([$€-2]* &quot;-&quot;??_)"/>
    <numFmt numFmtId="172" formatCode="#,##0.0"/>
    <numFmt numFmtId="173" formatCode="0.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4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sz val="24"/>
      <color theme="1"/>
      <name val="Bookman Old Style"/>
      <family val="1"/>
    </font>
    <font>
      <sz val="22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sz val="24"/>
      <color theme="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"/>
      <color theme="10"/>
      <name val="Arial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2"/>
      <color theme="0"/>
      <name val="Bookman Old Style"/>
      <family val="1"/>
    </font>
    <font>
      <sz val="22"/>
      <color theme="0"/>
      <name val="Bookman Old Style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3">
    <xf numFmtId="0" fontId="0" fillId="0" borderId="0"/>
    <xf numFmtId="0" fontId="2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1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/>
    <xf numFmtId="0" fontId="18" fillId="20" borderId="2" applyNumberFormat="0" applyAlignment="0" applyProtection="0"/>
    <xf numFmtId="0" fontId="19" fillId="21" borderId="3" applyNumberFormat="0" applyAlignment="0" applyProtection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1" fillId="0" borderId="4">
      <alignment horizontal="right"/>
    </xf>
    <xf numFmtId="0" fontId="22" fillId="4" borderId="0" applyNumberFormat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2" applyNumberFormat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37" fontId="33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23" borderId="11" applyNumberFormat="0" applyFont="0" applyAlignment="0" applyProtection="0"/>
    <xf numFmtId="0" fontId="2" fillId="23" borderId="11" applyNumberFormat="0" applyFont="0" applyAlignment="0" applyProtection="0"/>
    <xf numFmtId="0" fontId="36" fillId="20" borderId="12" applyNumberFormat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Font="0"/>
    <xf numFmtId="170" fontId="2" fillId="0" borderId="0" applyNumberFormat="0">
      <alignment horizontal="left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>
      <alignment vertical="top"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right" wrapText="1"/>
    </xf>
    <xf numFmtId="2" fontId="10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center" vertical="center"/>
    </xf>
    <xf numFmtId="2" fontId="3" fillId="24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2" fontId="3" fillId="0" borderId="14" xfId="1" applyNumberFormat="1" applyFont="1" applyFill="1" applyBorder="1" applyAlignment="1">
      <alignment horizontal="center" vertical="center" wrapText="1"/>
    </xf>
    <xf numFmtId="2" fontId="5" fillId="0" borderId="1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wrapText="1"/>
    </xf>
    <xf numFmtId="2" fontId="46" fillId="0" borderId="0" xfId="1" applyNumberFormat="1" applyFont="1" applyFill="1" applyBorder="1" applyAlignment="1">
      <alignment horizontal="right" wrapText="1"/>
    </xf>
    <xf numFmtId="2" fontId="7" fillId="0" borderId="0" xfId="1" applyNumberFormat="1" applyFont="1" applyFill="1" applyBorder="1" applyAlignment="1">
      <alignment wrapText="1"/>
    </xf>
    <xf numFmtId="2" fontId="47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2" fontId="46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</cellXfs>
  <cellStyles count="18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75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ÅëÈ­ [0]_±âÅ¸" xfId="28"/>
    <cellStyle name="ÅëÈ­_±âÅ¸" xfId="29"/>
    <cellStyle name="ÄÞ¸¶ [0]_±âÅ¸" xfId="30"/>
    <cellStyle name="ÄÞ¸¶_±âÅ¸" xfId="31"/>
    <cellStyle name="Bad 2" xfId="32"/>
    <cellStyle name="Ç¥ÁØ_¿¬°£´©°è¿¹»ó" xfId="33"/>
    <cellStyle name="Calculation 2" xfId="34"/>
    <cellStyle name="Check Cell 2" xfId="35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2" xfId="44"/>
    <cellStyle name="Comma 2 2" xfId="45"/>
    <cellStyle name="Comma 2 2 2" xfId="46"/>
    <cellStyle name="Comma 2 3" xfId="47"/>
    <cellStyle name="Comma 2 4" xfId="48"/>
    <cellStyle name="Comma 3" xfId="49"/>
    <cellStyle name="Comma 4" xfId="50"/>
    <cellStyle name="Comma 5" xfId="51"/>
    <cellStyle name="Currency 2" xfId="52"/>
    <cellStyle name="Currency 2 2" xfId="53"/>
    <cellStyle name="Currency 3" xfId="54"/>
    <cellStyle name="Currency 4" xfId="55"/>
    <cellStyle name="Euro" xfId="56"/>
    <cellStyle name="Explanatory Text 2" xfId="57"/>
    <cellStyle name="Formula" xfId="58"/>
    <cellStyle name="Good 2" xfId="59"/>
    <cellStyle name="Header1" xfId="60"/>
    <cellStyle name="Header2" xfId="61"/>
    <cellStyle name="Heading 1 2" xfId="62"/>
    <cellStyle name="Heading 2 2" xfId="63"/>
    <cellStyle name="Heading 3 2" xfId="64"/>
    <cellStyle name="Heading 4 2" xfId="65"/>
    <cellStyle name="Hyperlink 2" xfId="66"/>
    <cellStyle name="Hyperlink 3" xfId="67"/>
    <cellStyle name="Hypertextový odkaz" xfId="68"/>
    <cellStyle name="Input 2" xfId="69"/>
    <cellStyle name="Linked Cell 2" xfId="70"/>
    <cellStyle name="Neutral 2" xfId="71"/>
    <cellStyle name="no dec" xfId="72"/>
    <cellStyle name="Nor}al" xfId="73"/>
    <cellStyle name="Normal" xfId="0" builtinId="0"/>
    <cellStyle name="Normal - Style1" xfId="74"/>
    <cellStyle name="Normal 10" xfId="75"/>
    <cellStyle name="Normal 10 16" xfId="76"/>
    <cellStyle name="Normal 10 2" xfId="77"/>
    <cellStyle name="Normal 11" xfId="78"/>
    <cellStyle name="Normal 12" xfId="79"/>
    <cellStyle name="Normal 12 2" xfId="80"/>
    <cellStyle name="Normal 13" xfId="81"/>
    <cellStyle name="Normal 138_EEPhoneNos" xfId="82"/>
    <cellStyle name="Normal 14" xfId="83"/>
    <cellStyle name="Normal 14 2" xfId="84"/>
    <cellStyle name="Normal 14_January-2010  Fortnight WS Tra NEW" xfId="85"/>
    <cellStyle name="Normal 15" xfId="86"/>
    <cellStyle name="Normal 16" xfId="87"/>
    <cellStyle name="Normal 17" xfId="88"/>
    <cellStyle name="Normal 18" xfId="89"/>
    <cellStyle name="Normal 19" xfId="90"/>
    <cellStyle name="Normal 2" xfId="1"/>
    <cellStyle name="Normal 2 10" xfId="9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101"/>
    <cellStyle name="Normal 2 2 2" xfId="102"/>
    <cellStyle name="Normal 2 2 3" xfId="103"/>
    <cellStyle name="Normal 2 2_Meeting_Notes_09-03-2009" xfId="104"/>
    <cellStyle name="Normal 2 3" xfId="105"/>
    <cellStyle name="Normal 2 4" xfId="106"/>
    <cellStyle name="Normal 2 4 2" xfId="107"/>
    <cellStyle name="Normal 2 5" xfId="108"/>
    <cellStyle name="Normal 2 6" xfId="109"/>
    <cellStyle name="Normal 2 7" xfId="110"/>
    <cellStyle name="Normal 2 8" xfId="111"/>
    <cellStyle name="Normal 2 9" xfId="112"/>
    <cellStyle name="Normal 20" xfId="113"/>
    <cellStyle name="Normal 20 2" xfId="114"/>
    <cellStyle name="Normal 20 3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 2 2" xfId="127"/>
    <cellStyle name="Normal 3 3" xfId="128"/>
    <cellStyle name="Normal 3 3 2" xfId="129"/>
    <cellStyle name="Normal 3 4" xfId="130"/>
    <cellStyle name="Normal 3 5" xfId="131"/>
    <cellStyle name="Normal 3_Weekly transformer New format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2" xfId="144"/>
    <cellStyle name="Normal 4 3" xfId="145"/>
    <cellStyle name="Normal 4_Feederwise TCs as on June-08" xfId="146"/>
    <cellStyle name="Normal 40" xfId="147"/>
    <cellStyle name="Normal 41" xfId="148"/>
    <cellStyle name="Normal 41 2" xfId="2"/>
    <cellStyle name="Normal 5" xfId="149"/>
    <cellStyle name="Normal 5 2" xfId="150"/>
    <cellStyle name="Normal 5 2 2" xfId="151"/>
    <cellStyle name="Normal 6" xfId="152"/>
    <cellStyle name="Normal 6 2" xfId="153"/>
    <cellStyle name="Normal 6 2 2" xfId="154"/>
    <cellStyle name="Normal 6 2_MIS-Dec-2008 " xfId="155"/>
    <cellStyle name="Normal 7" xfId="156"/>
    <cellStyle name="Normal 7 2" xfId="157"/>
    <cellStyle name="Normal 7_Agenda-1 MMR Meeting for the month of December-2009" xfId="158"/>
    <cellStyle name="Normal 8" xfId="159"/>
    <cellStyle name="Normal 8 2" xfId="160"/>
    <cellStyle name="Normal 8 3" xfId="161"/>
    <cellStyle name="Normal 8_Meeting Booklet (Tech Formates) Dec-08" xfId="162"/>
    <cellStyle name="Normal 9" xfId="163"/>
    <cellStyle name="Normal 9 2" xfId="164"/>
    <cellStyle name="Note 2" xfId="165"/>
    <cellStyle name="Note 3" xfId="166"/>
    <cellStyle name="Output 2" xfId="167"/>
    <cellStyle name="Percent 2" xfId="168"/>
    <cellStyle name="Percent 2 2" xfId="169"/>
    <cellStyle name="Percent 2 3" xfId="170"/>
    <cellStyle name="Percent 3" xfId="171"/>
    <cellStyle name="Percent 4" xfId="172"/>
    <cellStyle name="Percent 5" xfId="173"/>
    <cellStyle name="Percent 6" xfId="174"/>
    <cellStyle name="Popis" xfId="175"/>
    <cellStyle name="Rs" xfId="176"/>
    <cellStyle name="Sledovaný hypertextový odkaz" xfId="177"/>
    <cellStyle name="Standard_BS14" xfId="178"/>
    <cellStyle name="Style 1" xfId="179"/>
    <cellStyle name="Title 2" xfId="180"/>
    <cellStyle name="Total 2" xfId="181"/>
    <cellStyle name="Warning Text 2" xfId="1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098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126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098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364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336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2-23/HT%20LT%20Lines%20FY%202022-23/revised%20march%20HT%20LT%20lines%20%20forwarded%20to%20energy%20dept%2015.05.23/HT%20Lines%20FY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HT%20LINES%20FY%202020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3-24/HT%20LT%20Lines%20FY%202023-24/LTlines%20FY%2023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2-23/HT%20LT%20Lines%20FY%202022-23/LT%20Lines%20FY%202022-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LT%20Line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"/>
      <sheetName val="May 2022"/>
      <sheetName val="June 2022"/>
      <sheetName val="July 2022"/>
      <sheetName val="Aug 2022  "/>
      <sheetName val="Sep 2022"/>
      <sheetName val="Oct 2022"/>
      <sheetName val="Nov 2022"/>
      <sheetName val="Dec 2022"/>
      <sheetName val="Jan 2023"/>
      <sheetName val="Feb 2023"/>
      <sheetName val="March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E7">
            <v>0</v>
          </cell>
          <cell r="G7">
            <v>82.86</v>
          </cell>
          <cell r="H7">
            <v>7.179999999999982</v>
          </cell>
          <cell r="K7">
            <v>116.00499999999998</v>
          </cell>
          <cell r="M7">
            <v>0</v>
          </cell>
          <cell r="N7">
            <v>700.22199999999975</v>
          </cell>
          <cell r="Q7">
            <v>0</v>
          </cell>
          <cell r="S7">
            <v>1.01</v>
          </cell>
          <cell r="T7">
            <v>8.436000000000007</v>
          </cell>
        </row>
        <row r="8">
          <cell r="E8">
            <v>0.06</v>
          </cell>
          <cell r="G8">
            <v>0</v>
          </cell>
          <cell r="H8">
            <v>265.44999999999993</v>
          </cell>
          <cell r="K8">
            <v>78.290999999999997</v>
          </cell>
          <cell r="M8">
            <v>0</v>
          </cell>
          <cell r="N8">
            <v>390.27100000000007</v>
          </cell>
          <cell r="Q8">
            <v>0</v>
          </cell>
          <cell r="S8">
            <v>0</v>
          </cell>
          <cell r="T8">
            <v>66.290000000000006</v>
          </cell>
        </row>
        <row r="9">
          <cell r="E9">
            <v>0</v>
          </cell>
          <cell r="G9">
            <v>0</v>
          </cell>
          <cell r="H9">
            <v>209.16</v>
          </cell>
          <cell r="K9">
            <v>198.85999999999996</v>
          </cell>
          <cell r="M9">
            <v>0</v>
          </cell>
          <cell r="N9">
            <v>899.88800000000003</v>
          </cell>
          <cell r="Q9">
            <v>0</v>
          </cell>
          <cell r="S9">
            <v>0</v>
          </cell>
          <cell r="T9">
            <v>44.739999999999995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19.968000000000004</v>
          </cell>
          <cell r="M10">
            <v>0</v>
          </cell>
          <cell r="N10">
            <v>362.3429999999999</v>
          </cell>
          <cell r="Q10">
            <v>0</v>
          </cell>
          <cell r="S10">
            <v>0</v>
          </cell>
          <cell r="T10">
            <v>0.20000000000000007</v>
          </cell>
        </row>
        <row r="12">
          <cell r="E12">
            <v>0</v>
          </cell>
          <cell r="G12">
            <v>333.13</v>
          </cell>
          <cell r="H12">
            <v>22.179999999999609</v>
          </cell>
          <cell r="K12">
            <v>469.44999999999993</v>
          </cell>
          <cell r="M12">
            <v>0</v>
          </cell>
          <cell r="N12">
            <v>1274.1549999999997</v>
          </cell>
          <cell r="Q12">
            <v>2.11</v>
          </cell>
          <cell r="S12">
            <v>36.99</v>
          </cell>
          <cell r="T12">
            <v>1.9700000000000095</v>
          </cell>
        </row>
        <row r="13">
          <cell r="E13">
            <v>0</v>
          </cell>
          <cell r="G13">
            <v>0</v>
          </cell>
          <cell r="H13">
            <v>312.23000000000013</v>
          </cell>
          <cell r="K13">
            <v>16.28</v>
          </cell>
          <cell r="M13">
            <v>0.7</v>
          </cell>
          <cell r="N13">
            <v>544.11200000000019</v>
          </cell>
          <cell r="Q13">
            <v>0</v>
          </cell>
          <cell r="S13">
            <v>0</v>
          </cell>
          <cell r="T13">
            <v>68.39</v>
          </cell>
        </row>
        <row r="14">
          <cell r="E14">
            <v>0</v>
          </cell>
          <cell r="G14">
            <v>0</v>
          </cell>
          <cell r="H14">
            <v>1216.4399999999994</v>
          </cell>
          <cell r="K14">
            <v>36.519999999999996</v>
          </cell>
          <cell r="M14">
            <v>0</v>
          </cell>
          <cell r="N14">
            <v>901.30800000000022</v>
          </cell>
          <cell r="Q14">
            <v>0</v>
          </cell>
          <cell r="S14">
            <v>0</v>
          </cell>
          <cell r="T14">
            <v>61.329999999999991</v>
          </cell>
        </row>
        <row r="16">
          <cell r="E16">
            <v>9.5100000000000016</v>
          </cell>
          <cell r="G16">
            <v>243.73</v>
          </cell>
          <cell r="H16">
            <v>759.62400000000036</v>
          </cell>
          <cell r="K16">
            <v>277.43999999999994</v>
          </cell>
          <cell r="M16">
            <v>0</v>
          </cell>
          <cell r="N16">
            <v>576.4860000000001</v>
          </cell>
          <cell r="Q16">
            <v>0.03</v>
          </cell>
          <cell r="S16">
            <v>0</v>
          </cell>
          <cell r="T16">
            <v>177.44200000000004</v>
          </cell>
        </row>
        <row r="17">
          <cell r="E17">
            <v>0</v>
          </cell>
          <cell r="G17">
            <v>3.74</v>
          </cell>
          <cell r="H17">
            <v>2.6759999999999478</v>
          </cell>
          <cell r="K17">
            <v>74.740000000000009</v>
          </cell>
          <cell r="M17">
            <v>0</v>
          </cell>
          <cell r="N17">
            <v>586.49</v>
          </cell>
          <cell r="Q17">
            <v>1.3399999999999999</v>
          </cell>
          <cell r="S17">
            <v>5.72</v>
          </cell>
          <cell r="T17">
            <v>1.9500000000000002</v>
          </cell>
        </row>
        <row r="18">
          <cell r="E18">
            <v>1.4000000000000001</v>
          </cell>
          <cell r="G18">
            <v>46.86</v>
          </cell>
          <cell r="H18">
            <v>90.316000000000145</v>
          </cell>
          <cell r="K18">
            <v>132.07999999999998</v>
          </cell>
          <cell r="M18">
            <v>0.34</v>
          </cell>
          <cell r="N18">
            <v>617.27700000000004</v>
          </cell>
          <cell r="Q18">
            <v>0.89999999999999991</v>
          </cell>
          <cell r="S18">
            <v>4.08</v>
          </cell>
          <cell r="T18">
            <v>35.689999999999991</v>
          </cell>
        </row>
        <row r="20">
          <cell r="E20">
            <v>1.77</v>
          </cell>
          <cell r="G20">
            <v>24.91</v>
          </cell>
          <cell r="H20">
            <v>607.42999999999984</v>
          </cell>
          <cell r="K20">
            <v>337.74</v>
          </cell>
          <cell r="M20">
            <v>1.04</v>
          </cell>
          <cell r="N20">
            <v>735.88800000000026</v>
          </cell>
          <cell r="Q20">
            <v>0</v>
          </cell>
          <cell r="S20">
            <v>2.77</v>
          </cell>
          <cell r="T20">
            <v>37.580000000000005</v>
          </cell>
        </row>
        <row r="21">
          <cell r="E21">
            <v>0</v>
          </cell>
          <cell r="G21">
            <v>20.440000000000001</v>
          </cell>
          <cell r="H21">
            <v>2.0700000000000003</v>
          </cell>
          <cell r="K21">
            <v>62.14</v>
          </cell>
          <cell r="M21">
            <v>0</v>
          </cell>
          <cell r="N21">
            <v>460.25700000000006</v>
          </cell>
          <cell r="Q21">
            <v>0.12</v>
          </cell>
          <cell r="S21">
            <v>1.2</v>
          </cell>
          <cell r="T21">
            <v>18.289999999999996</v>
          </cell>
        </row>
        <row r="22">
          <cell r="E22">
            <v>0</v>
          </cell>
          <cell r="G22">
            <v>0</v>
          </cell>
          <cell r="H22">
            <v>22.430000000000021</v>
          </cell>
          <cell r="K22">
            <v>9.0299999999999976</v>
          </cell>
          <cell r="M22">
            <v>0.08</v>
          </cell>
          <cell r="N22">
            <v>697.92000000000019</v>
          </cell>
          <cell r="Q22">
            <v>0</v>
          </cell>
          <cell r="S22">
            <v>0</v>
          </cell>
          <cell r="T22">
            <v>0.60000000000000098</v>
          </cell>
        </row>
        <row r="23">
          <cell r="E23">
            <v>3.4</v>
          </cell>
          <cell r="G23">
            <v>0</v>
          </cell>
          <cell r="H23">
            <v>430.64</v>
          </cell>
          <cell r="K23">
            <v>35.950000000000003</v>
          </cell>
          <cell r="M23">
            <v>0</v>
          </cell>
          <cell r="N23">
            <v>137.83499999999998</v>
          </cell>
          <cell r="Q23">
            <v>0</v>
          </cell>
          <cell r="S23">
            <v>0</v>
          </cell>
          <cell r="T23">
            <v>22.5</v>
          </cell>
        </row>
        <row r="26">
          <cell r="E26">
            <v>53.259999999999991</v>
          </cell>
          <cell r="G26">
            <v>0</v>
          </cell>
          <cell r="H26">
            <v>1606.24</v>
          </cell>
          <cell r="K26">
            <v>51.61</v>
          </cell>
          <cell r="M26">
            <v>0</v>
          </cell>
          <cell r="N26">
            <v>118.94</v>
          </cell>
          <cell r="Q26">
            <v>0.26</v>
          </cell>
          <cell r="S26">
            <v>0</v>
          </cell>
          <cell r="T26">
            <v>16.369999999999997</v>
          </cell>
        </row>
        <row r="27">
          <cell r="E27">
            <v>100.96</v>
          </cell>
          <cell r="G27">
            <v>0</v>
          </cell>
          <cell r="H27">
            <v>5677.6650000000045</v>
          </cell>
          <cell r="K27">
            <v>28.700000000000003</v>
          </cell>
          <cell r="M27">
            <v>0</v>
          </cell>
          <cell r="N27">
            <v>622.88799999999992</v>
          </cell>
          <cell r="Q27">
            <v>0.27</v>
          </cell>
          <cell r="S27">
            <v>0</v>
          </cell>
          <cell r="T27">
            <v>33.760000000000005</v>
          </cell>
        </row>
        <row r="29">
          <cell r="E29">
            <v>225.87</v>
          </cell>
          <cell r="G29">
            <v>0</v>
          </cell>
          <cell r="H29">
            <v>4879.3380000000006</v>
          </cell>
          <cell r="K29">
            <v>2.14</v>
          </cell>
          <cell r="M29">
            <v>0</v>
          </cell>
          <cell r="N29">
            <v>121.53000000000002</v>
          </cell>
          <cell r="Q29">
            <v>0</v>
          </cell>
          <cell r="S29">
            <v>23.2</v>
          </cell>
          <cell r="T29">
            <v>34.52000000000001</v>
          </cell>
        </row>
        <row r="30">
          <cell r="E30">
            <v>81.610000000000014</v>
          </cell>
          <cell r="G30">
            <v>0</v>
          </cell>
          <cell r="H30">
            <v>3693.9499999999994</v>
          </cell>
          <cell r="K30">
            <v>88</v>
          </cell>
          <cell r="M30">
            <v>0</v>
          </cell>
          <cell r="N30">
            <v>198.58699999999999</v>
          </cell>
          <cell r="Q30">
            <v>0</v>
          </cell>
          <cell r="S30">
            <v>0</v>
          </cell>
          <cell r="T30">
            <v>23.25</v>
          </cell>
        </row>
        <row r="31">
          <cell r="E31">
            <v>32.708000000000006</v>
          </cell>
          <cell r="G31">
            <v>0</v>
          </cell>
          <cell r="H31">
            <v>4698.2870000000012</v>
          </cell>
          <cell r="K31">
            <v>0.06</v>
          </cell>
          <cell r="M31">
            <v>0</v>
          </cell>
          <cell r="N31">
            <v>107.69000000000003</v>
          </cell>
          <cell r="Q31">
            <v>0</v>
          </cell>
          <cell r="S31">
            <v>0</v>
          </cell>
          <cell r="T31">
            <v>14.850000000000001</v>
          </cell>
        </row>
        <row r="32">
          <cell r="E32">
            <v>27.320000000000004</v>
          </cell>
          <cell r="G32">
            <v>0</v>
          </cell>
          <cell r="H32">
            <v>2370.1757999999991</v>
          </cell>
          <cell r="K32">
            <v>7.12</v>
          </cell>
          <cell r="M32">
            <v>0</v>
          </cell>
          <cell r="N32">
            <v>89.88600000000001</v>
          </cell>
          <cell r="Q32">
            <v>0</v>
          </cell>
          <cell r="S32">
            <v>0</v>
          </cell>
          <cell r="T32">
            <v>67.551999999999992</v>
          </cell>
        </row>
        <row r="34">
          <cell r="E34">
            <v>154.36999999999998</v>
          </cell>
          <cell r="G34">
            <v>9.89</v>
          </cell>
          <cell r="H34">
            <v>4583.58</v>
          </cell>
          <cell r="K34">
            <v>108.07999999999998</v>
          </cell>
          <cell r="M34">
            <v>0</v>
          </cell>
          <cell r="N34">
            <v>108.07999999999998</v>
          </cell>
          <cell r="Q34">
            <v>72.7</v>
          </cell>
          <cell r="S34">
            <v>0</v>
          </cell>
          <cell r="T34">
            <v>72.7</v>
          </cell>
        </row>
        <row r="35">
          <cell r="E35">
            <v>432.62</v>
          </cell>
          <cell r="G35">
            <v>0</v>
          </cell>
          <cell r="H35">
            <v>6642.199999999998</v>
          </cell>
          <cell r="K35">
            <v>27.21</v>
          </cell>
          <cell r="M35">
            <v>0</v>
          </cell>
          <cell r="N35">
            <v>34.130000000000003</v>
          </cell>
          <cell r="Q35">
            <v>32.380000000000003</v>
          </cell>
          <cell r="S35">
            <v>0</v>
          </cell>
          <cell r="T35">
            <v>90.800000000000011</v>
          </cell>
        </row>
        <row r="36">
          <cell r="E36">
            <v>221.32</v>
          </cell>
          <cell r="G36">
            <v>0</v>
          </cell>
          <cell r="H36">
            <v>3672.42</v>
          </cell>
          <cell r="K36">
            <v>5.2</v>
          </cell>
          <cell r="M36">
            <v>4.63</v>
          </cell>
          <cell r="N36">
            <v>30.250000000000039</v>
          </cell>
          <cell r="Q36">
            <v>19.29</v>
          </cell>
          <cell r="S36">
            <v>0</v>
          </cell>
          <cell r="T36">
            <v>36.379999999999995</v>
          </cell>
        </row>
        <row r="37">
          <cell r="E37">
            <v>293.13000000000005</v>
          </cell>
          <cell r="G37">
            <v>0</v>
          </cell>
          <cell r="H37">
            <v>5081.2499999999982</v>
          </cell>
          <cell r="K37">
            <v>14.27</v>
          </cell>
          <cell r="M37">
            <v>1.06</v>
          </cell>
          <cell r="N37">
            <v>26.700000000000003</v>
          </cell>
          <cell r="Q37">
            <v>0</v>
          </cell>
          <cell r="S37">
            <v>3.46</v>
          </cell>
          <cell r="T37">
            <v>3.0599999999999996</v>
          </cell>
        </row>
        <row r="40">
          <cell r="E40">
            <v>439.27</v>
          </cell>
          <cell r="G40">
            <v>0</v>
          </cell>
          <cell r="H40">
            <v>11829.713999999998</v>
          </cell>
          <cell r="K40">
            <v>0</v>
          </cell>
          <cell r="M40">
            <v>0</v>
          </cell>
          <cell r="N40">
            <v>198.73</v>
          </cell>
          <cell r="Q40">
            <v>106.93</v>
          </cell>
          <cell r="S40">
            <v>0</v>
          </cell>
          <cell r="T40">
            <v>106.93</v>
          </cell>
        </row>
        <row r="41">
          <cell r="E41">
            <v>894.10200000000009</v>
          </cell>
          <cell r="G41">
            <v>0</v>
          </cell>
          <cell r="H41">
            <v>8392.1389999999938</v>
          </cell>
          <cell r="K41">
            <v>0</v>
          </cell>
          <cell r="M41">
            <v>0</v>
          </cell>
          <cell r="N41">
            <v>8.67</v>
          </cell>
          <cell r="Q41">
            <v>141.29000000000002</v>
          </cell>
          <cell r="S41">
            <v>0</v>
          </cell>
          <cell r="T41">
            <v>141.29000000000002</v>
          </cell>
        </row>
        <row r="42">
          <cell r="E42">
            <v>105.99400000000001</v>
          </cell>
          <cell r="G42">
            <v>0</v>
          </cell>
          <cell r="H42">
            <v>13911.432999999995</v>
          </cell>
          <cell r="K42">
            <v>0</v>
          </cell>
          <cell r="M42">
            <v>0</v>
          </cell>
          <cell r="N42">
            <v>15.62</v>
          </cell>
          <cell r="Q42">
            <v>166.33</v>
          </cell>
          <cell r="S42">
            <v>0</v>
          </cell>
          <cell r="T42">
            <v>205.35</v>
          </cell>
        </row>
        <row r="43">
          <cell r="E43">
            <v>162.58000000000001</v>
          </cell>
          <cell r="G43">
            <v>0</v>
          </cell>
          <cell r="H43">
            <v>4130.0600000000013</v>
          </cell>
          <cell r="K43">
            <v>0</v>
          </cell>
          <cell r="M43">
            <v>0</v>
          </cell>
          <cell r="N43">
            <v>3.5</v>
          </cell>
          <cell r="Q43">
            <v>29.8</v>
          </cell>
          <cell r="S43">
            <v>0</v>
          </cell>
          <cell r="T43">
            <v>29.8</v>
          </cell>
        </row>
        <row r="45">
          <cell r="E45">
            <v>288.69</v>
          </cell>
          <cell r="G45">
            <v>0</v>
          </cell>
          <cell r="H45">
            <v>8340.6720999999998</v>
          </cell>
          <cell r="K45">
            <v>219.13</v>
          </cell>
          <cell r="M45">
            <v>0</v>
          </cell>
          <cell r="N45">
            <v>261.04999999999995</v>
          </cell>
          <cell r="Q45">
            <v>69.64</v>
          </cell>
          <cell r="S45">
            <v>0</v>
          </cell>
          <cell r="T45">
            <v>84.39</v>
          </cell>
        </row>
        <row r="46">
          <cell r="E46">
            <v>174.05</v>
          </cell>
          <cell r="G46">
            <v>0</v>
          </cell>
          <cell r="H46">
            <v>7912.5450000000019</v>
          </cell>
          <cell r="K46">
            <v>0</v>
          </cell>
          <cell r="M46">
            <v>0</v>
          </cell>
          <cell r="N46">
            <v>0</v>
          </cell>
          <cell r="Q46">
            <v>47.03</v>
          </cell>
          <cell r="S46">
            <v>0</v>
          </cell>
          <cell r="T46">
            <v>47.03</v>
          </cell>
        </row>
        <row r="47">
          <cell r="E47">
            <v>248.41000000000003</v>
          </cell>
          <cell r="G47">
            <v>0</v>
          </cell>
          <cell r="H47">
            <v>9033.0499999999975</v>
          </cell>
          <cell r="K47">
            <v>0</v>
          </cell>
          <cell r="M47">
            <v>0</v>
          </cell>
          <cell r="N47">
            <v>3.13</v>
          </cell>
          <cell r="Q47">
            <v>118.91999999999999</v>
          </cell>
          <cell r="S47">
            <v>0</v>
          </cell>
          <cell r="T47">
            <v>118.94999999999999</v>
          </cell>
        </row>
        <row r="48">
          <cell r="E48">
            <v>400.60999999999996</v>
          </cell>
          <cell r="G48">
            <v>0</v>
          </cell>
          <cell r="H48">
            <v>8597.3989999999976</v>
          </cell>
          <cell r="K48">
            <v>0</v>
          </cell>
          <cell r="M48">
            <v>0</v>
          </cell>
          <cell r="N48">
            <v>5.0249999999999995</v>
          </cell>
          <cell r="Q48">
            <v>4.21</v>
          </cell>
          <cell r="S48">
            <v>0</v>
          </cell>
          <cell r="T48">
            <v>4.21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MAY 2020"/>
      <sheetName val="JUNE 2020"/>
      <sheetName val="July 2020"/>
      <sheetName val="aug 2020"/>
      <sheetName val="braz"/>
      <sheetName val="brc"/>
      <sheetName val="kolar"/>
      <sheetName val="ramanagr"/>
      <sheetName val="CIRCLE"/>
      <sheetName val="DIFF"/>
      <sheetName val="ht"/>
      <sheetName val="sep 2020 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J56">
            <v>116750.91089999999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3"/>
      <sheetName val="April 2023"/>
      <sheetName val="May 2023"/>
      <sheetName val="June 2023"/>
      <sheetName val="JULY 2023"/>
      <sheetName val="August 2023"/>
      <sheetName val="Sept 2023"/>
      <sheetName val="Oct-2023"/>
      <sheetName val="Nov 2023"/>
      <sheetName val="dec 2023"/>
      <sheetName val="Jan 2024"/>
      <sheetName val="LT"/>
      <sheetName val="kolar and tumkur circ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3">
          <cell r="H53">
            <v>0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 "/>
      <sheetName val="May 2022"/>
      <sheetName val="June 2022"/>
      <sheetName val="July 2022"/>
      <sheetName val="aug 2022"/>
      <sheetName val="sep 2022"/>
      <sheetName val="Oct 2022"/>
      <sheetName val="Nov 2022"/>
      <sheetName val="Dec 2022"/>
      <sheetName val="Jan 2023"/>
      <sheetName val="Feb 2023"/>
      <sheetName val="march 2023"/>
      <sheetName val="LT"/>
    </sheetNames>
    <sheetDataSet>
      <sheetData sheetId="0">
        <row r="55">
          <cell r="H5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circle ob "/>
      <sheetName val="diff"/>
      <sheetName val="May 2020"/>
      <sheetName val="June 2020"/>
      <sheetName val="july 2020"/>
      <sheetName val="August 2020"/>
      <sheetName val="sep 2020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>
        <row r="53">
          <cell r="H5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5">
          <cell r="H55">
            <v>0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0"/>
  <sheetViews>
    <sheetView topLeftCell="D37" zoomScale="39" zoomScaleNormal="39" workbookViewId="0">
      <selection activeCell="M62" sqref="M62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1" customWidth="1"/>
    <col min="20" max="20" width="25.42578125" style="18" customWidth="1"/>
    <col min="21" max="21" width="32.85546875" style="18" customWidth="1"/>
    <col min="22" max="22" width="9.140625" style="1"/>
    <col min="23" max="23" width="37.140625" style="1" customWidth="1"/>
    <col min="24" max="16384" width="9.140625" style="1"/>
  </cols>
  <sheetData>
    <row r="1" spans="1:21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5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28"/>
    </row>
    <row r="5" spans="1:21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1" s="2" customFormat="1" ht="38.25" customHeight="1">
      <c r="A6" s="85"/>
      <c r="B6" s="87"/>
      <c r="C6" s="85"/>
      <c r="D6" s="27" t="s">
        <v>11</v>
      </c>
      <c r="E6" s="27" t="s">
        <v>12</v>
      </c>
      <c r="F6" s="27" t="s">
        <v>11</v>
      </c>
      <c r="G6" s="27" t="s">
        <v>12</v>
      </c>
      <c r="H6" s="82"/>
      <c r="I6" s="85"/>
      <c r="J6" s="27" t="s">
        <v>11</v>
      </c>
      <c r="K6" s="27" t="s">
        <v>12</v>
      </c>
      <c r="L6" s="27" t="s">
        <v>11</v>
      </c>
      <c r="M6" s="27" t="s">
        <v>12</v>
      </c>
      <c r="N6" s="82"/>
      <c r="O6" s="85"/>
      <c r="P6" s="27" t="s">
        <v>11</v>
      </c>
      <c r="Q6" s="27" t="s">
        <v>12</v>
      </c>
      <c r="R6" s="27" t="s">
        <v>11</v>
      </c>
      <c r="S6" s="27" t="s">
        <v>12</v>
      </c>
      <c r="T6" s="82"/>
      <c r="U6" s="82"/>
    </row>
    <row r="7" spans="1:21" ht="38.25" customHeight="1">
      <c r="A7" s="28">
        <v>1</v>
      </c>
      <c r="B7" s="30" t="s">
        <v>13</v>
      </c>
      <c r="C7" s="3">
        <f>'[1]Feb 2023'!H7</f>
        <v>7.179999999999982</v>
      </c>
      <c r="D7" s="3">
        <v>0</v>
      </c>
      <c r="E7" s="3">
        <f>'[1]Feb 2023'!E7+'March 2023'!D7</f>
        <v>0</v>
      </c>
      <c r="F7" s="3">
        <v>0</v>
      </c>
      <c r="G7" s="3">
        <f>'[1]Feb 2023'!G7+'March 2023'!F7</f>
        <v>82.86</v>
      </c>
      <c r="H7" s="3">
        <f>C7+D7-F7</f>
        <v>7.179999999999982</v>
      </c>
      <c r="I7" s="3">
        <f>'[1]Feb 2023'!N7</f>
        <v>700.22199999999975</v>
      </c>
      <c r="J7" s="3">
        <v>14.234999999999999</v>
      </c>
      <c r="K7" s="3">
        <f>'[1]Feb 2023'!K7+'March 2023'!J7</f>
        <v>130.23999999999998</v>
      </c>
      <c r="L7" s="3">
        <v>0</v>
      </c>
      <c r="M7" s="3">
        <f>'[1]Feb 2023'!M7+'March 2023'!L7</f>
        <v>0</v>
      </c>
      <c r="N7" s="3">
        <f>I7+J7-L7</f>
        <v>714.45699999999977</v>
      </c>
      <c r="O7" s="3">
        <f>'[1]Feb 2023'!T7</f>
        <v>8.436000000000007</v>
      </c>
      <c r="P7" s="3">
        <v>0</v>
      </c>
      <c r="Q7" s="3">
        <f>'[1]Feb 2023'!Q7+'March 2023'!P7</f>
        <v>0</v>
      </c>
      <c r="R7" s="3">
        <v>0</v>
      </c>
      <c r="S7" s="3">
        <f>'[1]Feb 2023'!S7+'March 2023'!R7</f>
        <v>1.01</v>
      </c>
      <c r="T7" s="3">
        <f>O7+P7-R7</f>
        <v>8.436000000000007</v>
      </c>
      <c r="U7" s="3">
        <f>H7+N7+T7</f>
        <v>730.07299999999975</v>
      </c>
    </row>
    <row r="8" spans="1:21" ht="38.25" customHeight="1">
      <c r="A8" s="28">
        <v>2</v>
      </c>
      <c r="B8" s="30" t="s">
        <v>14</v>
      </c>
      <c r="C8" s="3">
        <f>'[1]Feb 2023'!H8</f>
        <v>265.44999999999993</v>
      </c>
      <c r="D8" s="3">
        <v>0.54</v>
      </c>
      <c r="E8" s="3">
        <f>'[1]Feb 2023'!E8+'March 2023'!D8</f>
        <v>0.60000000000000009</v>
      </c>
      <c r="F8" s="3">
        <v>0</v>
      </c>
      <c r="G8" s="3">
        <f>'[1]Feb 2023'!G8+'March 2023'!F8</f>
        <v>0</v>
      </c>
      <c r="H8" s="3">
        <f t="shared" ref="H8:H51" si="0">C8+D8-F8</f>
        <v>265.98999999999995</v>
      </c>
      <c r="I8" s="3">
        <f>'[1]Feb 2023'!N8</f>
        <v>390.27100000000007</v>
      </c>
      <c r="J8" s="3">
        <v>7.875</v>
      </c>
      <c r="K8" s="3">
        <f>'[1]Feb 2023'!K8+'March 2023'!J8</f>
        <v>86.165999999999997</v>
      </c>
      <c r="L8" s="3">
        <v>0</v>
      </c>
      <c r="M8" s="3">
        <f>'[1]Feb 2023'!M8+'March 2023'!L8</f>
        <v>0</v>
      </c>
      <c r="N8" s="3">
        <f t="shared" ref="N8:N51" si="1">I8+J8-L8</f>
        <v>398.14600000000007</v>
      </c>
      <c r="O8" s="3">
        <f>'[1]Feb 2023'!T8</f>
        <v>66.290000000000006</v>
      </c>
      <c r="P8" s="3">
        <v>0</v>
      </c>
      <c r="Q8" s="3">
        <f>'[1]Feb 2023'!Q8+'March 2023'!P8</f>
        <v>0</v>
      </c>
      <c r="R8" s="3">
        <v>0</v>
      </c>
      <c r="S8" s="3">
        <f>'[1]Feb 2023'!S8+'March 2023'!R8</f>
        <v>0</v>
      </c>
      <c r="T8" s="3">
        <f t="shared" ref="T8:T51" si="2">O8+P8-R8</f>
        <v>66.290000000000006</v>
      </c>
      <c r="U8" s="3">
        <f t="shared" ref="U8:U51" si="3">H8+N8+T8</f>
        <v>730.42599999999993</v>
      </c>
    </row>
    <row r="9" spans="1:21" ht="38.25" customHeight="1">
      <c r="A9" s="28">
        <v>3</v>
      </c>
      <c r="B9" s="30" t="s">
        <v>15</v>
      </c>
      <c r="C9" s="3">
        <f>'[1]Feb 2023'!H9</f>
        <v>209.16</v>
      </c>
      <c r="D9" s="3">
        <v>0</v>
      </c>
      <c r="E9" s="3">
        <f>'[1]Feb 2023'!E9+'March 2023'!D9</f>
        <v>0</v>
      </c>
      <c r="F9" s="3">
        <v>0</v>
      </c>
      <c r="G9" s="3">
        <f>'[1]Feb 2023'!G9+'March 2023'!F9</f>
        <v>0</v>
      </c>
      <c r="H9" s="3">
        <f t="shared" si="0"/>
        <v>209.16</v>
      </c>
      <c r="I9" s="3">
        <f>'[1]Feb 2023'!N9</f>
        <v>899.88800000000003</v>
      </c>
      <c r="J9" s="3">
        <v>3.36</v>
      </c>
      <c r="K9" s="3">
        <f>'[1]Feb 2023'!K9+'March 2023'!J9</f>
        <v>202.21999999999997</v>
      </c>
      <c r="L9" s="3">
        <v>0</v>
      </c>
      <c r="M9" s="3">
        <f>'[1]Feb 2023'!M9+'March 2023'!L9</f>
        <v>0</v>
      </c>
      <c r="N9" s="3">
        <f t="shared" si="1"/>
        <v>903.24800000000005</v>
      </c>
      <c r="O9" s="3">
        <f>'[1]Feb 2023'!T9</f>
        <v>44.739999999999995</v>
      </c>
      <c r="P9" s="3">
        <v>0</v>
      </c>
      <c r="Q9" s="3">
        <f>'[1]Feb 2023'!Q9+'March 2023'!P9</f>
        <v>0</v>
      </c>
      <c r="R9" s="3">
        <v>0</v>
      </c>
      <c r="S9" s="3">
        <f>'[1]Feb 2023'!S9+'March 2023'!R9</f>
        <v>0</v>
      </c>
      <c r="T9" s="3">
        <f t="shared" si="2"/>
        <v>44.739999999999995</v>
      </c>
      <c r="U9" s="3">
        <f t="shared" si="3"/>
        <v>1157.1480000000001</v>
      </c>
    </row>
    <row r="10" spans="1:21" s="4" customFormat="1" ht="38.25" customHeight="1">
      <c r="A10" s="28">
        <v>4</v>
      </c>
      <c r="B10" s="30" t="s">
        <v>16</v>
      </c>
      <c r="C10" s="3">
        <f>'[1]Feb 2023'!H10</f>
        <v>0</v>
      </c>
      <c r="D10" s="3">
        <v>0</v>
      </c>
      <c r="E10" s="3">
        <f>'[1]Feb 2023'!E10+'March 2023'!D10</f>
        <v>0</v>
      </c>
      <c r="F10" s="3">
        <v>0</v>
      </c>
      <c r="G10" s="3">
        <f>'[1]Feb 2023'!G10+'March 2023'!F10</f>
        <v>0</v>
      </c>
      <c r="H10" s="3">
        <f t="shared" si="0"/>
        <v>0</v>
      </c>
      <c r="I10" s="3">
        <f>'[1]Feb 2023'!N10</f>
        <v>362.3429999999999</v>
      </c>
      <c r="J10" s="3">
        <v>2.63</v>
      </c>
      <c r="K10" s="3">
        <f>'[1]Feb 2023'!K10+'March 2023'!J10</f>
        <v>22.598000000000003</v>
      </c>
      <c r="L10" s="3">
        <v>0</v>
      </c>
      <c r="M10" s="3">
        <f>'[1]Feb 2023'!M10+'March 2023'!L10</f>
        <v>0</v>
      </c>
      <c r="N10" s="3">
        <f t="shared" si="1"/>
        <v>364.9729999999999</v>
      </c>
      <c r="O10" s="3">
        <f>'[1]Feb 2023'!T10</f>
        <v>0.20000000000000007</v>
      </c>
      <c r="P10" s="3">
        <v>0</v>
      </c>
      <c r="Q10" s="3">
        <f>'[1]Feb 2023'!Q10+'March 2023'!P10</f>
        <v>0</v>
      </c>
      <c r="R10" s="3">
        <v>0</v>
      </c>
      <c r="S10" s="3">
        <f>'[1]Feb 2023'!S10+'March 2023'!R10</f>
        <v>0</v>
      </c>
      <c r="T10" s="3">
        <f t="shared" si="2"/>
        <v>0.20000000000000007</v>
      </c>
      <c r="U10" s="3">
        <f t="shared" si="3"/>
        <v>365.17299999999989</v>
      </c>
    </row>
    <row r="11" spans="1:21" s="4" customFormat="1" ht="38.25" customHeight="1">
      <c r="A11" s="27"/>
      <c r="B11" s="29" t="s">
        <v>17</v>
      </c>
      <c r="C11" s="5">
        <f>SUM(C7:C10)</f>
        <v>481.78999999999996</v>
      </c>
      <c r="D11" s="5">
        <f t="shared" ref="D11:S11" si="4">SUM(D7:D10)</f>
        <v>0.54</v>
      </c>
      <c r="E11" s="5">
        <f t="shared" si="4"/>
        <v>0.60000000000000009</v>
      </c>
      <c r="F11" s="5">
        <f t="shared" si="4"/>
        <v>0</v>
      </c>
      <c r="G11" s="5">
        <f t="shared" si="4"/>
        <v>82.86</v>
      </c>
      <c r="H11" s="5">
        <f t="shared" si="0"/>
        <v>482.33</v>
      </c>
      <c r="I11" s="5">
        <f t="shared" si="4"/>
        <v>2352.7239999999997</v>
      </c>
      <c r="J11" s="5">
        <f t="shared" si="4"/>
        <v>28.099999999999998</v>
      </c>
      <c r="K11" s="5">
        <f t="shared" si="4"/>
        <v>441.22399999999999</v>
      </c>
      <c r="L11" s="5">
        <f t="shared" si="4"/>
        <v>0</v>
      </c>
      <c r="M11" s="5">
        <f t="shared" si="4"/>
        <v>0</v>
      </c>
      <c r="N11" s="5">
        <f t="shared" si="1"/>
        <v>2380.8239999999996</v>
      </c>
      <c r="O11" s="5">
        <f t="shared" si="4"/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1.01</v>
      </c>
      <c r="T11" s="5">
        <f t="shared" si="2"/>
        <v>119.66600000000001</v>
      </c>
      <c r="U11" s="5">
        <f t="shared" si="3"/>
        <v>2982.8199999999997</v>
      </c>
    </row>
    <row r="12" spans="1:21" ht="38.25" customHeight="1">
      <c r="A12" s="28">
        <v>5</v>
      </c>
      <c r="B12" s="30" t="s">
        <v>18</v>
      </c>
      <c r="C12" s="3">
        <f>'[1]Feb 2023'!H12</f>
        <v>22.179999999999609</v>
      </c>
      <c r="D12" s="3">
        <v>0</v>
      </c>
      <c r="E12" s="3">
        <f>'[1]Feb 2023'!E12+'March 2023'!D12</f>
        <v>0</v>
      </c>
      <c r="F12" s="3">
        <v>0</v>
      </c>
      <c r="G12" s="3">
        <f>'[1]Feb 2023'!G12+'March 2023'!F12</f>
        <v>333.13</v>
      </c>
      <c r="H12" s="3">
        <f t="shared" si="0"/>
        <v>22.179999999999609</v>
      </c>
      <c r="I12" s="3">
        <f>'[1]Feb 2023'!N12</f>
        <v>1274.1549999999997</v>
      </c>
      <c r="J12" s="25">
        <v>2.2799999999999998</v>
      </c>
      <c r="K12" s="3">
        <f>'[1]Feb 2023'!K12+'March 2023'!J12</f>
        <v>471.7299999999999</v>
      </c>
      <c r="L12" s="3">
        <v>0</v>
      </c>
      <c r="M12" s="3">
        <f>'[1]Feb 2023'!M12+'March 2023'!L12</f>
        <v>0</v>
      </c>
      <c r="N12" s="3">
        <f t="shared" si="1"/>
        <v>1276.4349999999997</v>
      </c>
      <c r="O12" s="3">
        <f>'[1]Feb 2023'!T12</f>
        <v>1.9700000000000095</v>
      </c>
      <c r="P12" s="3">
        <v>0</v>
      </c>
      <c r="Q12" s="3">
        <f>'[1]Feb 2023'!Q12+'March 2023'!P12</f>
        <v>2.11</v>
      </c>
      <c r="R12" s="3">
        <v>0</v>
      </c>
      <c r="S12" s="3">
        <f>'[1]Feb 2023'!S12+'March 2023'!R12</f>
        <v>36.99</v>
      </c>
      <c r="T12" s="3">
        <f t="shared" si="2"/>
        <v>1.9700000000000095</v>
      </c>
      <c r="U12" s="3">
        <f t="shared" si="3"/>
        <v>1300.5849999999994</v>
      </c>
    </row>
    <row r="13" spans="1:21" ht="38.25" customHeight="1">
      <c r="A13" s="28">
        <v>6</v>
      </c>
      <c r="B13" s="30" t="s">
        <v>19</v>
      </c>
      <c r="C13" s="3">
        <f>'[1]Feb 2023'!H13</f>
        <v>312.23000000000013</v>
      </c>
      <c r="D13" s="3">
        <v>0</v>
      </c>
      <c r="E13" s="3">
        <f>'[1]Feb 2023'!E13+'March 2023'!D13</f>
        <v>0</v>
      </c>
      <c r="F13" s="3">
        <v>0</v>
      </c>
      <c r="G13" s="3">
        <f>'[1]Feb 2023'!G13+'March 2023'!F13</f>
        <v>0</v>
      </c>
      <c r="H13" s="3">
        <f t="shared" si="0"/>
        <v>312.23000000000013</v>
      </c>
      <c r="I13" s="3">
        <f>'[1]Feb 2023'!N13</f>
        <v>544.11200000000019</v>
      </c>
      <c r="J13" s="25">
        <v>1.42</v>
      </c>
      <c r="K13" s="3">
        <f>'[1]Feb 2023'!K13+'March 2023'!J13</f>
        <v>17.700000000000003</v>
      </c>
      <c r="L13" s="3">
        <v>0</v>
      </c>
      <c r="M13" s="3">
        <f>'[1]Feb 2023'!M13+'March 2023'!L13</f>
        <v>0.7</v>
      </c>
      <c r="N13" s="3">
        <f t="shared" si="1"/>
        <v>545.53200000000015</v>
      </c>
      <c r="O13" s="3">
        <f>'[1]Feb 2023'!T13</f>
        <v>68.39</v>
      </c>
      <c r="P13" s="3">
        <v>0</v>
      </c>
      <c r="Q13" s="3">
        <f>'[1]Feb 2023'!Q13+'March 2023'!P13</f>
        <v>0</v>
      </c>
      <c r="R13" s="3">
        <v>0</v>
      </c>
      <c r="S13" s="3">
        <f>'[1]Feb 2023'!S13+'March 2023'!R13</f>
        <v>0</v>
      </c>
      <c r="T13" s="3">
        <f t="shared" si="2"/>
        <v>68.39</v>
      </c>
      <c r="U13" s="3">
        <f t="shared" si="3"/>
        <v>926.15200000000027</v>
      </c>
    </row>
    <row r="14" spans="1:21" s="4" customFormat="1" ht="38.25" customHeight="1">
      <c r="A14" s="28">
        <v>7</v>
      </c>
      <c r="B14" s="30" t="s">
        <v>20</v>
      </c>
      <c r="C14" s="3">
        <f>'[1]Feb 2023'!H14</f>
        <v>1216.4399999999994</v>
      </c>
      <c r="D14" s="3">
        <v>0</v>
      </c>
      <c r="E14" s="3">
        <f>'[1]Feb 2023'!E14+'March 2023'!D14</f>
        <v>0</v>
      </c>
      <c r="F14" s="3">
        <v>0</v>
      </c>
      <c r="G14" s="3">
        <f>'[1]Feb 2023'!G14+'March 2023'!F14</f>
        <v>0</v>
      </c>
      <c r="H14" s="3">
        <f t="shared" si="0"/>
        <v>1216.4399999999994</v>
      </c>
      <c r="I14" s="3">
        <f>'[1]Feb 2023'!N14</f>
        <v>901.30800000000022</v>
      </c>
      <c r="J14" s="25">
        <v>2.19</v>
      </c>
      <c r="K14" s="3">
        <f>'[1]Feb 2023'!K14+'March 2023'!J14</f>
        <v>38.709999999999994</v>
      </c>
      <c r="L14" s="3">
        <v>0</v>
      </c>
      <c r="M14" s="3">
        <f>'[1]Feb 2023'!M14+'March 2023'!L14</f>
        <v>0</v>
      </c>
      <c r="N14" s="3">
        <f t="shared" si="1"/>
        <v>903.49800000000027</v>
      </c>
      <c r="O14" s="3">
        <f>'[1]Feb 2023'!T14</f>
        <v>61.329999999999991</v>
      </c>
      <c r="P14" s="3">
        <v>0</v>
      </c>
      <c r="Q14" s="3">
        <f>'[1]Feb 2023'!Q14+'March 2023'!P14</f>
        <v>0</v>
      </c>
      <c r="R14" s="3">
        <v>0</v>
      </c>
      <c r="S14" s="3">
        <f>'[1]Feb 2023'!S14+'March 2023'!R14</f>
        <v>0</v>
      </c>
      <c r="T14" s="3">
        <f t="shared" si="2"/>
        <v>61.329999999999991</v>
      </c>
      <c r="U14" s="3">
        <f t="shared" si="3"/>
        <v>2181.2679999999996</v>
      </c>
    </row>
    <row r="15" spans="1:21" s="4" customFormat="1" ht="38.25" customHeight="1">
      <c r="A15" s="27"/>
      <c r="B15" s="29" t="s">
        <v>21</v>
      </c>
      <c r="C15" s="5">
        <f>SUM(C12:C14)</f>
        <v>1550.849999999999</v>
      </c>
      <c r="D15" s="5">
        <f t="shared" ref="D15:S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333.13</v>
      </c>
      <c r="H15" s="5">
        <f t="shared" si="0"/>
        <v>1550.849999999999</v>
      </c>
      <c r="I15" s="5">
        <f t="shared" si="5"/>
        <v>2719.5749999999998</v>
      </c>
      <c r="J15" s="5">
        <f t="shared" si="5"/>
        <v>5.89</v>
      </c>
      <c r="K15" s="5">
        <f t="shared" si="5"/>
        <v>528.13999999999987</v>
      </c>
      <c r="L15" s="5">
        <f t="shared" si="5"/>
        <v>0</v>
      </c>
      <c r="M15" s="5">
        <f t="shared" si="5"/>
        <v>0.7</v>
      </c>
      <c r="N15" s="5">
        <f t="shared" si="1"/>
        <v>2725.4649999999997</v>
      </c>
      <c r="O15" s="5">
        <f t="shared" si="5"/>
        <v>131.69</v>
      </c>
      <c r="P15" s="5">
        <f t="shared" si="5"/>
        <v>0</v>
      </c>
      <c r="Q15" s="5">
        <f t="shared" si="5"/>
        <v>2.11</v>
      </c>
      <c r="R15" s="5">
        <f t="shared" si="5"/>
        <v>0</v>
      </c>
      <c r="S15" s="5">
        <f t="shared" si="5"/>
        <v>36.99</v>
      </c>
      <c r="T15" s="5">
        <f t="shared" si="2"/>
        <v>131.69</v>
      </c>
      <c r="U15" s="5">
        <f t="shared" si="3"/>
        <v>4408.0049999999983</v>
      </c>
    </row>
    <row r="16" spans="1:21" s="6" customFormat="1" ht="38.25" customHeight="1">
      <c r="A16" s="28">
        <v>8</v>
      </c>
      <c r="B16" s="30" t="s">
        <v>22</v>
      </c>
      <c r="C16" s="3">
        <f>'[1]Feb 2023'!H16</f>
        <v>759.62400000000036</v>
      </c>
      <c r="D16" s="3">
        <v>0.55000000000000004</v>
      </c>
      <c r="E16" s="3">
        <f>'[1]Feb 2023'!E16+'March 2023'!D16</f>
        <v>10.060000000000002</v>
      </c>
      <c r="F16" s="3">
        <v>4.01</v>
      </c>
      <c r="G16" s="3">
        <f>'[1]Feb 2023'!G16+'March 2023'!F16</f>
        <v>247.73999999999998</v>
      </c>
      <c r="H16" s="3">
        <f t="shared" si="0"/>
        <v>756.16400000000033</v>
      </c>
      <c r="I16" s="3">
        <f>'[1]Feb 2023'!N16</f>
        <v>576.4860000000001</v>
      </c>
      <c r="J16" s="3">
        <v>0.49</v>
      </c>
      <c r="K16" s="3">
        <f>'[1]Feb 2023'!K16+'March 2023'!J16</f>
        <v>277.92999999999995</v>
      </c>
      <c r="L16" s="3">
        <v>0</v>
      </c>
      <c r="M16" s="3">
        <f>'[1]Feb 2023'!M16+'March 2023'!L16</f>
        <v>0</v>
      </c>
      <c r="N16" s="3">
        <f t="shared" si="1"/>
        <v>576.97600000000011</v>
      </c>
      <c r="O16" s="3">
        <f>'[1]Feb 2023'!T16</f>
        <v>177.44200000000004</v>
      </c>
      <c r="P16" s="3">
        <v>0</v>
      </c>
      <c r="Q16" s="3">
        <f>'[1]Feb 2023'!Q16+'March 2023'!P16</f>
        <v>0.03</v>
      </c>
      <c r="R16" s="3">
        <v>0</v>
      </c>
      <c r="S16" s="3">
        <f>'[1]Feb 2023'!S16+'March 2023'!R16</f>
        <v>0</v>
      </c>
      <c r="T16" s="3">
        <f t="shared" si="2"/>
        <v>177.44200000000004</v>
      </c>
      <c r="U16" s="3">
        <f t="shared" si="3"/>
        <v>1510.5820000000003</v>
      </c>
    </row>
    <row r="17" spans="1:23" ht="61.5" customHeight="1">
      <c r="A17" s="7">
        <v>9</v>
      </c>
      <c r="B17" s="8" t="s">
        <v>23</v>
      </c>
      <c r="C17" s="3">
        <f>'[1]Feb 2023'!H17</f>
        <v>2.6759999999999478</v>
      </c>
      <c r="D17" s="3">
        <v>0</v>
      </c>
      <c r="E17" s="3">
        <f>'[1]Feb 2023'!E17+'March 2023'!D17</f>
        <v>0</v>
      </c>
      <c r="F17" s="3">
        <v>0</v>
      </c>
      <c r="G17" s="3">
        <f>'[1]Feb 2023'!G17+'March 2023'!F17</f>
        <v>3.74</v>
      </c>
      <c r="H17" s="3">
        <f t="shared" si="0"/>
        <v>2.6759999999999478</v>
      </c>
      <c r="I17" s="3">
        <f>'[1]Feb 2023'!N17</f>
        <v>586.49</v>
      </c>
      <c r="J17" s="3">
        <v>2.63</v>
      </c>
      <c r="K17" s="3">
        <f>'[1]Feb 2023'!K17+'March 2023'!J17</f>
        <v>77.37</v>
      </c>
      <c r="L17" s="3">
        <v>0</v>
      </c>
      <c r="M17" s="3">
        <f>'[1]Feb 2023'!M17+'March 2023'!L17</f>
        <v>0</v>
      </c>
      <c r="N17" s="3">
        <f t="shared" si="1"/>
        <v>589.12</v>
      </c>
      <c r="O17" s="3">
        <f>'[1]Feb 2023'!T17</f>
        <v>1.9500000000000002</v>
      </c>
      <c r="P17" s="3">
        <v>0</v>
      </c>
      <c r="Q17" s="3">
        <f>'[1]Feb 2023'!Q17+'March 2023'!P17</f>
        <v>1.3399999999999999</v>
      </c>
      <c r="R17" s="3">
        <v>0</v>
      </c>
      <c r="S17" s="3">
        <f>'[1]Feb 2023'!S17+'March 2023'!R17</f>
        <v>5.72</v>
      </c>
      <c r="T17" s="3">
        <f t="shared" si="2"/>
        <v>1.9500000000000002</v>
      </c>
      <c r="U17" s="3">
        <f t="shared" si="3"/>
        <v>593.74599999999998</v>
      </c>
    </row>
    <row r="18" spans="1:23" s="4" customFormat="1" ht="38.25" customHeight="1">
      <c r="A18" s="28">
        <v>10</v>
      </c>
      <c r="B18" s="30" t="s">
        <v>24</v>
      </c>
      <c r="C18" s="3">
        <f>'[1]Feb 2023'!H18</f>
        <v>90.316000000000145</v>
      </c>
      <c r="D18" s="3">
        <v>0.05</v>
      </c>
      <c r="E18" s="3">
        <f>'[1]Feb 2023'!E18+'March 2023'!D18</f>
        <v>1.4500000000000002</v>
      </c>
      <c r="F18" s="3">
        <v>0.1</v>
      </c>
      <c r="G18" s="3">
        <f>'[1]Feb 2023'!G18+'March 2023'!F18</f>
        <v>46.96</v>
      </c>
      <c r="H18" s="3">
        <f t="shared" si="0"/>
        <v>90.266000000000147</v>
      </c>
      <c r="I18" s="3">
        <f>'[1]Feb 2023'!N18</f>
        <v>617.27700000000004</v>
      </c>
      <c r="J18" s="3">
        <v>0.318</v>
      </c>
      <c r="K18" s="3">
        <f>'[1]Feb 2023'!K18+'March 2023'!J18</f>
        <v>132.398</v>
      </c>
      <c r="L18" s="3">
        <v>0.3</v>
      </c>
      <c r="M18" s="3">
        <f>'[1]Feb 2023'!M18+'March 2023'!L18</f>
        <v>0.64</v>
      </c>
      <c r="N18" s="3">
        <f t="shared" si="1"/>
        <v>617.29500000000007</v>
      </c>
      <c r="O18" s="3">
        <f>'[1]Feb 2023'!T18</f>
        <v>35.689999999999991</v>
      </c>
      <c r="P18" s="3">
        <v>0</v>
      </c>
      <c r="Q18" s="3">
        <f>'[1]Feb 2023'!Q18+'March 2023'!P18</f>
        <v>0.89999999999999991</v>
      </c>
      <c r="R18" s="3">
        <v>0</v>
      </c>
      <c r="S18" s="3">
        <f>'[1]Feb 2023'!S18+'March 2023'!R18</f>
        <v>4.08</v>
      </c>
      <c r="T18" s="3">
        <f t="shared" si="2"/>
        <v>35.689999999999991</v>
      </c>
      <c r="U18" s="3">
        <f t="shared" si="3"/>
        <v>743.2510000000002</v>
      </c>
    </row>
    <row r="19" spans="1:23" s="4" customFormat="1" ht="38.25" customHeight="1">
      <c r="A19" s="27"/>
      <c r="B19" s="29" t="s">
        <v>25</v>
      </c>
      <c r="C19" s="5">
        <f>SUM(C16:C18)</f>
        <v>852.61600000000044</v>
      </c>
      <c r="D19" s="5">
        <f t="shared" ref="D19:S19" si="6">SUM(D16:D18)</f>
        <v>0.60000000000000009</v>
      </c>
      <c r="E19" s="5">
        <f t="shared" si="6"/>
        <v>11.510000000000002</v>
      </c>
      <c r="F19" s="5">
        <f t="shared" si="6"/>
        <v>4.1099999999999994</v>
      </c>
      <c r="G19" s="5">
        <f t="shared" si="6"/>
        <v>298.44</v>
      </c>
      <c r="H19" s="5">
        <f t="shared" si="0"/>
        <v>849.10600000000045</v>
      </c>
      <c r="I19" s="5">
        <f t="shared" si="6"/>
        <v>1780.2530000000002</v>
      </c>
      <c r="J19" s="5">
        <f t="shared" si="6"/>
        <v>3.4380000000000002</v>
      </c>
      <c r="K19" s="5">
        <f t="shared" si="6"/>
        <v>487.69799999999998</v>
      </c>
      <c r="L19" s="5">
        <f t="shared" si="6"/>
        <v>0.3</v>
      </c>
      <c r="M19" s="5">
        <f t="shared" si="6"/>
        <v>0.64</v>
      </c>
      <c r="N19" s="5">
        <f t="shared" si="1"/>
        <v>1783.3910000000003</v>
      </c>
      <c r="O19" s="5">
        <f t="shared" si="6"/>
        <v>215.08200000000002</v>
      </c>
      <c r="P19" s="5">
        <f t="shared" si="6"/>
        <v>0</v>
      </c>
      <c r="Q19" s="5">
        <f t="shared" si="6"/>
        <v>2.2699999999999996</v>
      </c>
      <c r="R19" s="5">
        <f t="shared" si="6"/>
        <v>0</v>
      </c>
      <c r="S19" s="5">
        <f t="shared" si="6"/>
        <v>9.8000000000000007</v>
      </c>
      <c r="T19" s="5">
        <f t="shared" si="2"/>
        <v>215.08200000000002</v>
      </c>
      <c r="U19" s="5">
        <f t="shared" si="3"/>
        <v>2847.5790000000006</v>
      </c>
    </row>
    <row r="20" spans="1:23" ht="38.25" customHeight="1">
      <c r="A20" s="28">
        <v>11</v>
      </c>
      <c r="B20" s="30" t="s">
        <v>26</v>
      </c>
      <c r="C20" s="3">
        <f>'[1]Feb 2023'!H20</f>
        <v>607.42999999999984</v>
      </c>
      <c r="D20" s="3">
        <v>0</v>
      </c>
      <c r="E20" s="3">
        <f>'[1]Feb 2023'!E20+'March 2023'!D20</f>
        <v>1.77</v>
      </c>
      <c r="F20" s="3">
        <v>0</v>
      </c>
      <c r="G20" s="3">
        <f>'[1]Feb 2023'!G20+'March 2023'!F20</f>
        <v>24.91</v>
      </c>
      <c r="H20" s="3">
        <f t="shared" si="0"/>
        <v>607.42999999999984</v>
      </c>
      <c r="I20" s="3">
        <f>'[1]Feb 2023'!N20</f>
        <v>735.88800000000026</v>
      </c>
      <c r="J20" s="3">
        <v>12.52</v>
      </c>
      <c r="K20" s="3">
        <f>'[1]Feb 2023'!K20+'March 2023'!J20</f>
        <v>350.26</v>
      </c>
      <c r="L20" s="3">
        <v>0</v>
      </c>
      <c r="M20" s="3">
        <f>'[1]Feb 2023'!M20+'March 2023'!L20</f>
        <v>1.04</v>
      </c>
      <c r="N20" s="3">
        <f t="shared" si="1"/>
        <v>748.40800000000024</v>
      </c>
      <c r="O20" s="3">
        <f>'[1]Feb 2023'!T20</f>
        <v>37.580000000000005</v>
      </c>
      <c r="P20" s="3">
        <v>0</v>
      </c>
      <c r="Q20" s="3">
        <f>'[1]Feb 2023'!Q20+'March 2023'!P20</f>
        <v>0</v>
      </c>
      <c r="R20" s="3">
        <v>0</v>
      </c>
      <c r="S20" s="3">
        <f>'[1]Feb 2023'!S20+'March 2023'!R20</f>
        <v>2.77</v>
      </c>
      <c r="T20" s="3">
        <f t="shared" si="2"/>
        <v>37.580000000000005</v>
      </c>
      <c r="U20" s="3">
        <f t="shared" si="3"/>
        <v>1393.4180000000001</v>
      </c>
      <c r="W20" s="90"/>
    </row>
    <row r="21" spans="1:23" ht="38.25" customHeight="1">
      <c r="A21" s="28">
        <v>12</v>
      </c>
      <c r="B21" s="30" t="s">
        <v>27</v>
      </c>
      <c r="C21" s="3">
        <f>'[1]Feb 2023'!H21</f>
        <v>2.0700000000000003</v>
      </c>
      <c r="D21" s="3">
        <v>0</v>
      </c>
      <c r="E21" s="3">
        <f>'[1]Feb 2023'!E21+'March 2023'!D21</f>
        <v>0</v>
      </c>
      <c r="F21" s="3">
        <v>0</v>
      </c>
      <c r="G21" s="3">
        <f>'[1]Feb 2023'!G21+'March 2023'!F21</f>
        <v>20.440000000000001</v>
      </c>
      <c r="H21" s="3">
        <f t="shared" si="0"/>
        <v>2.0700000000000003</v>
      </c>
      <c r="I21" s="3">
        <f>'[1]Feb 2023'!N21</f>
        <v>460.25700000000006</v>
      </c>
      <c r="J21" s="3">
        <v>1.17</v>
      </c>
      <c r="K21" s="3">
        <f>'[1]Feb 2023'!K21+'March 2023'!J21</f>
        <v>63.31</v>
      </c>
      <c r="L21" s="3">
        <v>0</v>
      </c>
      <c r="M21" s="3">
        <f>'[1]Feb 2023'!M21+'March 2023'!L21</f>
        <v>0</v>
      </c>
      <c r="N21" s="3">
        <f t="shared" si="1"/>
        <v>461.42700000000008</v>
      </c>
      <c r="O21" s="3">
        <f>'[1]Feb 2023'!T21</f>
        <v>18.289999999999996</v>
      </c>
      <c r="P21" s="3">
        <v>1.2</v>
      </c>
      <c r="Q21" s="3">
        <f>'[1]Feb 2023'!Q21+'March 2023'!P21</f>
        <v>1.3199999999999998</v>
      </c>
      <c r="R21" s="3">
        <v>0.6</v>
      </c>
      <c r="S21" s="3">
        <f>'[1]Feb 2023'!S21+'March 2023'!R21</f>
        <v>1.7999999999999998</v>
      </c>
      <c r="T21" s="3">
        <f t="shared" si="2"/>
        <v>18.889999999999993</v>
      </c>
      <c r="U21" s="3">
        <f t="shared" si="3"/>
        <v>482.38700000000006</v>
      </c>
      <c r="W21" s="90"/>
    </row>
    <row r="22" spans="1:23" s="4" customFormat="1" ht="38.25" customHeight="1">
      <c r="A22" s="28">
        <v>13</v>
      </c>
      <c r="B22" s="30" t="s">
        <v>28</v>
      </c>
      <c r="C22" s="3">
        <f>'[1]Feb 2023'!H22</f>
        <v>22.430000000000021</v>
      </c>
      <c r="D22" s="3">
        <v>0</v>
      </c>
      <c r="E22" s="3">
        <f>'[1]Feb 2023'!E22+'March 2023'!D22</f>
        <v>0</v>
      </c>
      <c r="F22" s="3">
        <v>0</v>
      </c>
      <c r="G22" s="3">
        <f>'[1]Feb 2023'!G22+'March 2023'!F22</f>
        <v>0</v>
      </c>
      <c r="H22" s="3">
        <f t="shared" si="0"/>
        <v>22.430000000000021</v>
      </c>
      <c r="I22" s="3">
        <f>'[1]Feb 2023'!N22</f>
        <v>697.92000000000019</v>
      </c>
      <c r="J22" s="3">
        <v>0.3</v>
      </c>
      <c r="K22" s="3">
        <f>'[1]Feb 2023'!K22+'March 2023'!J22</f>
        <v>9.3299999999999983</v>
      </c>
      <c r="L22" s="3">
        <v>0</v>
      </c>
      <c r="M22" s="3">
        <f>'[1]Feb 2023'!M22+'March 2023'!L22</f>
        <v>0.08</v>
      </c>
      <c r="N22" s="3">
        <f t="shared" si="1"/>
        <v>698.22000000000014</v>
      </c>
      <c r="O22" s="3">
        <f>'[1]Feb 2023'!T22</f>
        <v>0.60000000000000098</v>
      </c>
      <c r="P22" s="3">
        <v>0</v>
      </c>
      <c r="Q22" s="3">
        <f>'[1]Feb 2023'!Q22+'March 2023'!P22</f>
        <v>0</v>
      </c>
      <c r="R22" s="3">
        <v>0</v>
      </c>
      <c r="S22" s="3">
        <f>'[1]Feb 2023'!S22+'March 2023'!R22</f>
        <v>0</v>
      </c>
      <c r="T22" s="3">
        <f t="shared" si="2"/>
        <v>0.60000000000000098</v>
      </c>
      <c r="U22" s="3">
        <f t="shared" si="3"/>
        <v>721.25000000000023</v>
      </c>
      <c r="W22" s="90"/>
    </row>
    <row r="23" spans="1:23" s="4" customFormat="1" ht="38.25" customHeight="1">
      <c r="A23" s="28">
        <v>14</v>
      </c>
      <c r="B23" s="30" t="s">
        <v>29</v>
      </c>
      <c r="C23" s="3">
        <f>'[1]Feb 2023'!H23</f>
        <v>430.64</v>
      </c>
      <c r="D23" s="3">
        <v>0</v>
      </c>
      <c r="E23" s="3">
        <f>'[1]Feb 2023'!E23+'March 2023'!D23</f>
        <v>3.4</v>
      </c>
      <c r="F23" s="3">
        <v>0</v>
      </c>
      <c r="G23" s="3">
        <f>'[1]Feb 2023'!G23+'March 2023'!F23</f>
        <v>0</v>
      </c>
      <c r="H23" s="3">
        <f t="shared" si="0"/>
        <v>430.64</v>
      </c>
      <c r="I23" s="3">
        <f>'[1]Feb 2023'!N23</f>
        <v>137.83499999999998</v>
      </c>
      <c r="J23" s="3">
        <v>1.72</v>
      </c>
      <c r="K23" s="3">
        <f>'[1]Feb 2023'!K23+'March 2023'!J23</f>
        <v>37.67</v>
      </c>
      <c r="L23" s="3">
        <v>0</v>
      </c>
      <c r="M23" s="3">
        <f>'[1]Feb 2023'!M23+'March 2023'!L23</f>
        <v>0</v>
      </c>
      <c r="N23" s="3">
        <f t="shared" si="1"/>
        <v>139.55499999999998</v>
      </c>
      <c r="O23" s="3">
        <f>'[1]Feb 2023'!T23</f>
        <v>22.5</v>
      </c>
      <c r="P23" s="3">
        <v>0</v>
      </c>
      <c r="Q23" s="3">
        <f>'[1]Feb 2023'!Q23+'March 2023'!P23</f>
        <v>0</v>
      </c>
      <c r="R23" s="3">
        <v>0</v>
      </c>
      <c r="S23" s="3">
        <f>'[1]Feb 2023'!S23+'March 2023'!R23</f>
        <v>0</v>
      </c>
      <c r="T23" s="3">
        <f t="shared" si="2"/>
        <v>22.5</v>
      </c>
      <c r="U23" s="3">
        <f t="shared" si="3"/>
        <v>592.69499999999994</v>
      </c>
      <c r="W23" s="90"/>
    </row>
    <row r="24" spans="1:23" s="4" customFormat="1" ht="38.25" customHeight="1">
      <c r="A24" s="27"/>
      <c r="B24" s="29" t="s">
        <v>30</v>
      </c>
      <c r="C24" s="5">
        <f>SUM(C20:C23)</f>
        <v>1062.57</v>
      </c>
      <c r="D24" s="5">
        <f t="shared" ref="D24:S24" si="7">SUM(D20:D23)</f>
        <v>0</v>
      </c>
      <c r="E24" s="5">
        <f t="shared" si="7"/>
        <v>5.17</v>
      </c>
      <c r="F24" s="5">
        <f t="shared" si="7"/>
        <v>0</v>
      </c>
      <c r="G24" s="5">
        <f t="shared" si="7"/>
        <v>45.35</v>
      </c>
      <c r="H24" s="5">
        <f t="shared" si="0"/>
        <v>1062.57</v>
      </c>
      <c r="I24" s="5">
        <f t="shared" si="7"/>
        <v>2031.9000000000005</v>
      </c>
      <c r="J24" s="5">
        <f t="shared" si="7"/>
        <v>15.71</v>
      </c>
      <c r="K24" s="5">
        <f t="shared" si="7"/>
        <v>460.57</v>
      </c>
      <c r="L24" s="5">
        <f t="shared" si="7"/>
        <v>0</v>
      </c>
      <c r="M24" s="5">
        <f t="shared" si="7"/>
        <v>1.1200000000000001</v>
      </c>
      <c r="N24" s="5">
        <f t="shared" si="1"/>
        <v>2047.6100000000006</v>
      </c>
      <c r="O24" s="5">
        <f t="shared" si="7"/>
        <v>78.97</v>
      </c>
      <c r="P24" s="5">
        <f t="shared" si="7"/>
        <v>1.2</v>
      </c>
      <c r="Q24" s="5">
        <f t="shared" si="7"/>
        <v>1.3199999999999998</v>
      </c>
      <c r="R24" s="5">
        <f t="shared" si="7"/>
        <v>0.6</v>
      </c>
      <c r="S24" s="5">
        <f t="shared" si="7"/>
        <v>4.57</v>
      </c>
      <c r="T24" s="5">
        <f t="shared" si="2"/>
        <v>79.570000000000007</v>
      </c>
      <c r="U24" s="5">
        <f t="shared" si="3"/>
        <v>3189.7500000000005</v>
      </c>
    </row>
    <row r="25" spans="1:23" s="4" customFormat="1" ht="38.25" customHeight="1">
      <c r="A25" s="27"/>
      <c r="B25" s="29" t="s">
        <v>31</v>
      </c>
      <c r="C25" s="5">
        <f>C24+C19+C15+C11</f>
        <v>3947.8259999999991</v>
      </c>
      <c r="D25" s="5">
        <f t="shared" ref="D25:S25" si="8">D24+D19+D15+D11</f>
        <v>1.1400000000000001</v>
      </c>
      <c r="E25" s="5">
        <f t="shared" si="8"/>
        <v>17.28</v>
      </c>
      <c r="F25" s="5">
        <f t="shared" si="8"/>
        <v>4.1099999999999994</v>
      </c>
      <c r="G25" s="5">
        <f t="shared" si="8"/>
        <v>759.78000000000009</v>
      </c>
      <c r="H25" s="5">
        <f t="shared" si="0"/>
        <v>3944.8559999999989</v>
      </c>
      <c r="I25" s="5">
        <f t="shared" si="8"/>
        <v>8884.4520000000011</v>
      </c>
      <c r="J25" s="5">
        <f t="shared" si="8"/>
        <v>53.137999999999998</v>
      </c>
      <c r="K25" s="5">
        <f t="shared" si="8"/>
        <v>1917.6319999999998</v>
      </c>
      <c r="L25" s="5">
        <f t="shared" si="8"/>
        <v>0.3</v>
      </c>
      <c r="M25" s="5">
        <f t="shared" si="8"/>
        <v>2.46</v>
      </c>
      <c r="N25" s="5">
        <f t="shared" si="1"/>
        <v>8937.2900000000027</v>
      </c>
      <c r="O25" s="5">
        <f t="shared" si="8"/>
        <v>545.40800000000002</v>
      </c>
      <c r="P25" s="5">
        <f t="shared" si="8"/>
        <v>1.2</v>
      </c>
      <c r="Q25" s="5">
        <f t="shared" si="8"/>
        <v>5.6999999999999993</v>
      </c>
      <c r="R25" s="5">
        <f t="shared" si="8"/>
        <v>0.6</v>
      </c>
      <c r="S25" s="5">
        <f t="shared" si="8"/>
        <v>52.37</v>
      </c>
      <c r="T25" s="5">
        <f t="shared" si="2"/>
        <v>546.00800000000004</v>
      </c>
      <c r="U25" s="5">
        <f t="shared" si="3"/>
        <v>13428.154</v>
      </c>
    </row>
    <row r="26" spans="1:23" ht="38.25" customHeight="1">
      <c r="A26" s="28">
        <v>15</v>
      </c>
      <c r="B26" s="30" t="s">
        <v>32</v>
      </c>
      <c r="C26" s="3">
        <f>'[1]Feb 2023'!H26</f>
        <v>1606.24</v>
      </c>
      <c r="D26" s="3">
        <v>22.05</v>
      </c>
      <c r="E26" s="3">
        <f>'[1]Feb 2023'!E26+'March 2023'!D26</f>
        <v>75.309999999999988</v>
      </c>
      <c r="F26" s="3">
        <v>0</v>
      </c>
      <c r="G26" s="3">
        <f>'[1]Feb 2023'!G26+'March 2023'!F26</f>
        <v>0</v>
      </c>
      <c r="H26" s="3">
        <f t="shared" si="0"/>
        <v>1628.29</v>
      </c>
      <c r="I26" s="3">
        <f>'[1]Feb 2023'!N26</f>
        <v>118.94</v>
      </c>
      <c r="J26" s="3">
        <v>2.61</v>
      </c>
      <c r="K26" s="3">
        <f>'[1]Feb 2023'!K26+'March 2023'!J26</f>
        <v>54.22</v>
      </c>
      <c r="L26" s="3">
        <v>0</v>
      </c>
      <c r="M26" s="3">
        <f>'[1]Feb 2023'!M26+'March 2023'!L26</f>
        <v>0</v>
      </c>
      <c r="N26" s="3">
        <f t="shared" si="1"/>
        <v>121.55</v>
      </c>
      <c r="O26" s="3">
        <f>'[1]Feb 2023'!T26</f>
        <v>16.369999999999997</v>
      </c>
      <c r="P26" s="3">
        <v>0</v>
      </c>
      <c r="Q26" s="3">
        <f>'[1]Feb 2023'!Q26+'March 2023'!P26</f>
        <v>0.26</v>
      </c>
      <c r="R26" s="3">
        <v>0</v>
      </c>
      <c r="S26" s="3">
        <f>'[1]Feb 2023'!S26+'March 2023'!R26</f>
        <v>0</v>
      </c>
      <c r="T26" s="3">
        <f t="shared" si="2"/>
        <v>16.369999999999997</v>
      </c>
      <c r="U26" s="3">
        <f t="shared" si="3"/>
        <v>1766.2099999999998</v>
      </c>
    </row>
    <row r="27" spans="1:23" s="4" customFormat="1" ht="38.25" customHeight="1">
      <c r="A27" s="28">
        <v>16</v>
      </c>
      <c r="B27" s="30" t="s">
        <v>33</v>
      </c>
      <c r="C27" s="3">
        <f>'[1]Feb 2023'!H27</f>
        <v>5677.6650000000045</v>
      </c>
      <c r="D27" s="3">
        <v>7.71</v>
      </c>
      <c r="E27" s="3">
        <f>'[1]Feb 2023'!E27+'March 2023'!D27</f>
        <v>108.66999999999999</v>
      </c>
      <c r="F27" s="3">
        <v>0</v>
      </c>
      <c r="G27" s="3">
        <f>'[1]Feb 2023'!G27+'March 2023'!F27</f>
        <v>0</v>
      </c>
      <c r="H27" s="3">
        <f t="shared" si="0"/>
        <v>5685.3750000000045</v>
      </c>
      <c r="I27" s="3">
        <f>'[1]Feb 2023'!N27</f>
        <v>622.88799999999992</v>
      </c>
      <c r="J27" s="3">
        <v>11.29</v>
      </c>
      <c r="K27" s="3">
        <f>'[1]Feb 2023'!K27+'March 2023'!J27</f>
        <v>39.99</v>
      </c>
      <c r="L27" s="3">
        <v>0</v>
      </c>
      <c r="M27" s="3">
        <f>'[1]Feb 2023'!M27+'March 2023'!L27</f>
        <v>0</v>
      </c>
      <c r="N27" s="3">
        <f t="shared" si="1"/>
        <v>634.17799999999988</v>
      </c>
      <c r="O27" s="3">
        <f>'[1]Feb 2023'!T27</f>
        <v>33.760000000000005</v>
      </c>
      <c r="P27" s="3">
        <v>0.04</v>
      </c>
      <c r="Q27" s="3">
        <f>'[1]Feb 2023'!Q27+'March 2023'!P27</f>
        <v>0.31</v>
      </c>
      <c r="R27" s="3">
        <v>0</v>
      </c>
      <c r="S27" s="3">
        <f>'[1]Feb 2023'!S27+'March 2023'!R27</f>
        <v>0</v>
      </c>
      <c r="T27" s="3">
        <f t="shared" si="2"/>
        <v>33.800000000000004</v>
      </c>
      <c r="U27" s="3">
        <f t="shared" si="3"/>
        <v>6353.3530000000046</v>
      </c>
    </row>
    <row r="28" spans="1:23" s="4" customFormat="1" ht="38.25" customHeight="1">
      <c r="A28" s="27"/>
      <c r="B28" s="29" t="s">
        <v>34</v>
      </c>
      <c r="C28" s="5">
        <f>SUM(C26:C27)</f>
        <v>7283.9050000000043</v>
      </c>
      <c r="D28" s="5">
        <f t="shared" ref="D28:S28" si="9">SUM(D26:D27)</f>
        <v>29.76</v>
      </c>
      <c r="E28" s="5">
        <f t="shared" si="9"/>
        <v>183.97999999999996</v>
      </c>
      <c r="F28" s="5">
        <f t="shared" si="9"/>
        <v>0</v>
      </c>
      <c r="G28" s="5">
        <f t="shared" si="9"/>
        <v>0</v>
      </c>
      <c r="H28" s="5">
        <f t="shared" si="0"/>
        <v>7313.6650000000045</v>
      </c>
      <c r="I28" s="5">
        <f t="shared" si="9"/>
        <v>741.82799999999997</v>
      </c>
      <c r="J28" s="5">
        <f t="shared" si="9"/>
        <v>13.899999999999999</v>
      </c>
      <c r="K28" s="5">
        <f t="shared" si="9"/>
        <v>94.210000000000008</v>
      </c>
      <c r="L28" s="5">
        <f t="shared" si="9"/>
        <v>0</v>
      </c>
      <c r="M28" s="5">
        <f t="shared" si="9"/>
        <v>0</v>
      </c>
      <c r="N28" s="5">
        <f t="shared" si="1"/>
        <v>755.72799999999995</v>
      </c>
      <c r="O28" s="5">
        <f t="shared" si="9"/>
        <v>50.13</v>
      </c>
      <c r="P28" s="5">
        <f t="shared" si="9"/>
        <v>0.04</v>
      </c>
      <c r="Q28" s="5">
        <f t="shared" si="9"/>
        <v>0.57000000000000006</v>
      </c>
      <c r="R28" s="5">
        <f t="shared" si="9"/>
        <v>0</v>
      </c>
      <c r="S28" s="5">
        <f t="shared" si="9"/>
        <v>0</v>
      </c>
      <c r="T28" s="5">
        <f t="shared" si="2"/>
        <v>50.17</v>
      </c>
      <c r="U28" s="5">
        <f t="shared" si="3"/>
        <v>8119.5630000000046</v>
      </c>
    </row>
    <row r="29" spans="1:23" ht="38.25" customHeight="1">
      <c r="A29" s="28">
        <v>17</v>
      </c>
      <c r="B29" s="30" t="s">
        <v>35</v>
      </c>
      <c r="C29" s="3">
        <f>'[1]Feb 2023'!H29</f>
        <v>4879.3380000000006</v>
      </c>
      <c r="D29" s="3">
        <v>1.7</v>
      </c>
      <c r="E29" s="3">
        <f>'[1]Feb 2023'!E29+'March 2023'!D29</f>
        <v>227.57</v>
      </c>
      <c r="F29" s="3">
        <v>0</v>
      </c>
      <c r="G29" s="3">
        <f>'[1]Feb 2023'!G29+'March 2023'!F29</f>
        <v>0</v>
      </c>
      <c r="H29" s="3">
        <f t="shared" si="0"/>
        <v>4881.0380000000005</v>
      </c>
      <c r="I29" s="3">
        <f>'[1]Feb 2023'!N29</f>
        <v>121.53000000000002</v>
      </c>
      <c r="J29" s="3">
        <v>0</v>
      </c>
      <c r="K29" s="3">
        <f>'[1]Feb 2023'!K29+'March 2023'!J29</f>
        <v>2.14</v>
      </c>
      <c r="L29" s="3">
        <v>0</v>
      </c>
      <c r="M29" s="3">
        <f>'[1]Feb 2023'!M29+'March 2023'!L29</f>
        <v>0</v>
      </c>
      <c r="N29" s="3">
        <f t="shared" si="1"/>
        <v>121.53000000000002</v>
      </c>
      <c r="O29" s="3">
        <f>'[1]Feb 2023'!T29</f>
        <v>34.52000000000001</v>
      </c>
      <c r="P29" s="3">
        <v>0</v>
      </c>
      <c r="Q29" s="3">
        <f>'[1]Feb 2023'!Q29+'March 2023'!P29</f>
        <v>0</v>
      </c>
      <c r="R29" s="3">
        <v>0</v>
      </c>
      <c r="S29" s="3">
        <f>'[1]Feb 2023'!S29+'March 2023'!R29</f>
        <v>23.2</v>
      </c>
      <c r="T29" s="3">
        <f t="shared" si="2"/>
        <v>34.52000000000001</v>
      </c>
      <c r="U29" s="3">
        <f t="shared" si="3"/>
        <v>5037.0880000000006</v>
      </c>
      <c r="W29" s="89"/>
    </row>
    <row r="30" spans="1:23" ht="54.75" customHeight="1">
      <c r="A30" s="28">
        <v>18</v>
      </c>
      <c r="B30" s="30" t="s">
        <v>36</v>
      </c>
      <c r="C30" s="3">
        <f>'[1]Feb 2023'!H30</f>
        <v>3693.9499999999994</v>
      </c>
      <c r="D30" s="3">
        <v>8.1999999999999993</v>
      </c>
      <c r="E30" s="3">
        <f>'[1]Feb 2023'!E30+'March 2023'!D30</f>
        <v>89.810000000000016</v>
      </c>
      <c r="F30" s="3">
        <v>0</v>
      </c>
      <c r="G30" s="3">
        <f>'[1]Feb 2023'!G30+'March 2023'!F30</f>
        <v>0</v>
      </c>
      <c r="H30" s="3">
        <f t="shared" si="0"/>
        <v>3702.1499999999992</v>
      </c>
      <c r="I30" s="3">
        <f>'[1]Feb 2023'!N30</f>
        <v>198.58699999999999</v>
      </c>
      <c r="J30" s="3">
        <v>0</v>
      </c>
      <c r="K30" s="3">
        <f>'[1]Feb 2023'!K30+'March 2023'!J30</f>
        <v>88</v>
      </c>
      <c r="L30" s="3">
        <v>0</v>
      </c>
      <c r="M30" s="3">
        <f>'[1]Feb 2023'!M30+'March 2023'!L30</f>
        <v>0</v>
      </c>
      <c r="N30" s="3">
        <f t="shared" si="1"/>
        <v>198.58699999999999</v>
      </c>
      <c r="O30" s="3">
        <f>'[1]Feb 2023'!T30</f>
        <v>23.25</v>
      </c>
      <c r="P30" s="3">
        <v>0</v>
      </c>
      <c r="Q30" s="3">
        <f>'[1]Feb 2023'!Q30+'March 2023'!P30</f>
        <v>0</v>
      </c>
      <c r="R30" s="3">
        <v>0</v>
      </c>
      <c r="S30" s="3">
        <f>'[1]Feb 2023'!S30+'March 2023'!R30</f>
        <v>0</v>
      </c>
      <c r="T30" s="3">
        <f t="shared" si="2"/>
        <v>23.25</v>
      </c>
      <c r="U30" s="3">
        <f t="shared" si="3"/>
        <v>3923.9869999999992</v>
      </c>
      <c r="W30" s="89"/>
    </row>
    <row r="31" spans="1:23" s="4" customFormat="1" ht="44.25" customHeight="1">
      <c r="A31" s="28">
        <v>19</v>
      </c>
      <c r="B31" s="30" t="s">
        <v>37</v>
      </c>
      <c r="C31" s="3">
        <f>'[1]Feb 2023'!H31</f>
        <v>4698.2870000000012</v>
      </c>
      <c r="D31" s="3">
        <v>4.2050000000000001</v>
      </c>
      <c r="E31" s="3">
        <f>'[1]Feb 2023'!E31+'March 2023'!D31</f>
        <v>36.913000000000004</v>
      </c>
      <c r="F31" s="3">
        <v>0</v>
      </c>
      <c r="G31" s="3">
        <f>'[1]Feb 2023'!G31+'March 2023'!F31</f>
        <v>0</v>
      </c>
      <c r="H31" s="3">
        <f t="shared" si="0"/>
        <v>4702.4920000000011</v>
      </c>
      <c r="I31" s="3">
        <f>'[1]Feb 2023'!N31</f>
        <v>107.69000000000003</v>
      </c>
      <c r="J31" s="3">
        <v>0</v>
      </c>
      <c r="K31" s="3">
        <f>'[1]Feb 2023'!K31+'March 2023'!J31</f>
        <v>0.06</v>
      </c>
      <c r="L31" s="3">
        <v>0</v>
      </c>
      <c r="M31" s="3">
        <f>'[1]Feb 2023'!M31+'March 2023'!L31</f>
        <v>0</v>
      </c>
      <c r="N31" s="3">
        <f t="shared" si="1"/>
        <v>107.69000000000003</v>
      </c>
      <c r="O31" s="3">
        <f>'[1]Feb 2023'!T31</f>
        <v>14.850000000000001</v>
      </c>
      <c r="P31" s="3">
        <v>0</v>
      </c>
      <c r="Q31" s="3">
        <f>'[1]Feb 2023'!Q31+'March 2023'!P31</f>
        <v>0</v>
      </c>
      <c r="R31" s="3">
        <v>0</v>
      </c>
      <c r="S31" s="3">
        <f>'[1]Feb 2023'!S31+'March 2023'!R31</f>
        <v>0</v>
      </c>
      <c r="T31" s="3">
        <f t="shared" si="2"/>
        <v>14.850000000000001</v>
      </c>
      <c r="U31" s="3">
        <f t="shared" si="3"/>
        <v>4825.0320000000011</v>
      </c>
      <c r="W31" s="89"/>
    </row>
    <row r="32" spans="1:23" ht="70.5" customHeight="1">
      <c r="A32" s="28">
        <v>20</v>
      </c>
      <c r="B32" s="30" t="s">
        <v>38</v>
      </c>
      <c r="C32" s="3">
        <f>'[1]Feb 2023'!H32</f>
        <v>2370.1757999999991</v>
      </c>
      <c r="D32" s="3">
        <v>3.85</v>
      </c>
      <c r="E32" s="3">
        <f>'[1]Feb 2023'!E32+'March 2023'!D32</f>
        <v>31.170000000000005</v>
      </c>
      <c r="F32" s="3">
        <v>0</v>
      </c>
      <c r="G32" s="3">
        <f>'[1]Feb 2023'!G32+'March 2023'!F32</f>
        <v>0</v>
      </c>
      <c r="H32" s="3">
        <f t="shared" si="0"/>
        <v>2374.025799999999</v>
      </c>
      <c r="I32" s="3">
        <f>'[1]Feb 2023'!N32</f>
        <v>89.88600000000001</v>
      </c>
      <c r="J32" s="3">
        <v>3.29</v>
      </c>
      <c r="K32" s="3">
        <f>'[1]Feb 2023'!K32+'March 2023'!J32</f>
        <v>10.41</v>
      </c>
      <c r="L32" s="3">
        <v>0</v>
      </c>
      <c r="M32" s="3">
        <f>'[1]Feb 2023'!M32+'March 2023'!L32</f>
        <v>0</v>
      </c>
      <c r="N32" s="3">
        <f t="shared" si="1"/>
        <v>93.176000000000016</v>
      </c>
      <c r="O32" s="3">
        <f>'[1]Feb 2023'!T32</f>
        <v>67.551999999999992</v>
      </c>
      <c r="P32" s="3">
        <v>0</v>
      </c>
      <c r="Q32" s="3">
        <f>'[1]Feb 2023'!Q32+'March 2023'!P32</f>
        <v>0</v>
      </c>
      <c r="R32" s="3">
        <v>0</v>
      </c>
      <c r="S32" s="3">
        <f>'[1]Feb 2023'!S32+'March 2023'!R32</f>
        <v>0</v>
      </c>
      <c r="T32" s="3">
        <f t="shared" si="2"/>
        <v>67.551999999999992</v>
      </c>
      <c r="U32" s="3">
        <f t="shared" si="3"/>
        <v>2534.753799999999</v>
      </c>
      <c r="W32" s="89"/>
    </row>
    <row r="33" spans="1:21" s="4" customFormat="1" ht="38.25" customHeight="1">
      <c r="A33" s="27"/>
      <c r="B33" s="29" t="s">
        <v>39</v>
      </c>
      <c r="C33" s="5">
        <f>SUM(C29:C32)</f>
        <v>15641.7508</v>
      </c>
      <c r="D33" s="5">
        <f t="shared" ref="D33:S33" si="10">SUM(D29:D32)</f>
        <v>17.954999999999998</v>
      </c>
      <c r="E33" s="5">
        <f t="shared" si="10"/>
        <v>385.46300000000002</v>
      </c>
      <c r="F33" s="5">
        <f t="shared" si="10"/>
        <v>0</v>
      </c>
      <c r="G33" s="5">
        <f t="shared" si="10"/>
        <v>0</v>
      </c>
      <c r="H33" s="5">
        <f t="shared" si="0"/>
        <v>15659.7058</v>
      </c>
      <c r="I33" s="5">
        <f t="shared" si="10"/>
        <v>517.69299999999998</v>
      </c>
      <c r="J33" s="5">
        <f t="shared" si="10"/>
        <v>3.29</v>
      </c>
      <c r="K33" s="5">
        <f t="shared" si="10"/>
        <v>100.61</v>
      </c>
      <c r="L33" s="5">
        <f t="shared" si="10"/>
        <v>0</v>
      </c>
      <c r="M33" s="5">
        <f t="shared" si="10"/>
        <v>0</v>
      </c>
      <c r="N33" s="5">
        <f t="shared" si="1"/>
        <v>520.98299999999995</v>
      </c>
      <c r="O33" s="5">
        <f t="shared" si="10"/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23.2</v>
      </c>
      <c r="T33" s="5">
        <f t="shared" si="2"/>
        <v>140.172</v>
      </c>
      <c r="U33" s="5">
        <f t="shared" si="3"/>
        <v>16320.8608</v>
      </c>
    </row>
    <row r="34" spans="1:21" ht="38.25" customHeight="1">
      <c r="A34" s="28">
        <v>21</v>
      </c>
      <c r="B34" s="30" t="s">
        <v>40</v>
      </c>
      <c r="C34" s="3">
        <f>'[1]Feb 2023'!H34</f>
        <v>4583.58</v>
      </c>
      <c r="D34" s="3">
        <v>3.17</v>
      </c>
      <c r="E34" s="3">
        <f>'[1]Feb 2023'!E34+'March 2023'!D34</f>
        <v>157.53999999999996</v>
      </c>
      <c r="F34" s="3">
        <v>0</v>
      </c>
      <c r="G34" s="3">
        <f>'[1]Feb 2023'!G34+'March 2023'!F34</f>
        <v>9.89</v>
      </c>
      <c r="H34" s="3">
        <f t="shared" si="0"/>
        <v>4586.75</v>
      </c>
      <c r="I34" s="3">
        <f>'[1]Feb 2023'!N34</f>
        <v>108.07999999999998</v>
      </c>
      <c r="J34" s="3">
        <v>0</v>
      </c>
      <c r="K34" s="3">
        <f>'[1]Feb 2023'!K34+'March 2023'!J34</f>
        <v>108.07999999999998</v>
      </c>
      <c r="L34" s="3">
        <v>0</v>
      </c>
      <c r="M34" s="3">
        <f>'[1]Feb 2023'!M34+'March 2023'!L34</f>
        <v>0</v>
      </c>
      <c r="N34" s="3">
        <f t="shared" si="1"/>
        <v>108.07999999999998</v>
      </c>
      <c r="O34" s="3">
        <f>'[1]Feb 2023'!T34</f>
        <v>72.7</v>
      </c>
      <c r="P34" s="3">
        <v>0</v>
      </c>
      <c r="Q34" s="3">
        <f>'[1]Feb 2023'!Q34+'March 2023'!P34</f>
        <v>72.7</v>
      </c>
      <c r="R34" s="3">
        <v>0</v>
      </c>
      <c r="S34" s="3">
        <f>'[1]Feb 2023'!S34+'March 2023'!R34</f>
        <v>0</v>
      </c>
      <c r="T34" s="3">
        <f t="shared" si="2"/>
        <v>72.7</v>
      </c>
      <c r="U34" s="3">
        <f t="shared" si="3"/>
        <v>4767.53</v>
      </c>
    </row>
    <row r="35" spans="1:21" ht="38.25" customHeight="1">
      <c r="A35" s="28">
        <v>22</v>
      </c>
      <c r="B35" s="30" t="s">
        <v>41</v>
      </c>
      <c r="C35" s="3">
        <f>'[1]Feb 2023'!H35</f>
        <v>6642.199999999998</v>
      </c>
      <c r="D35" s="3">
        <f>28.03+13.39</f>
        <v>41.42</v>
      </c>
      <c r="E35" s="3">
        <f>'[1]Feb 2023'!E35+'March 2023'!D35</f>
        <v>474.04</v>
      </c>
      <c r="F35" s="3">
        <v>0</v>
      </c>
      <c r="G35" s="3">
        <f>'[1]Feb 2023'!G35+'March 2023'!F35</f>
        <v>0</v>
      </c>
      <c r="H35" s="3">
        <f t="shared" si="0"/>
        <v>6683.6199999999981</v>
      </c>
      <c r="I35" s="3">
        <f>'[1]Feb 2023'!N35</f>
        <v>34.130000000000003</v>
      </c>
      <c r="J35" s="3">
        <v>0</v>
      </c>
      <c r="K35" s="3">
        <f>'[1]Feb 2023'!K35+'March 2023'!J35</f>
        <v>27.21</v>
      </c>
      <c r="L35" s="3">
        <v>0</v>
      </c>
      <c r="M35" s="3">
        <f>'[1]Feb 2023'!M35+'March 2023'!L35</f>
        <v>0</v>
      </c>
      <c r="N35" s="3">
        <f t="shared" si="1"/>
        <v>34.130000000000003</v>
      </c>
      <c r="O35" s="3">
        <f>'[1]Feb 2023'!T35</f>
        <v>90.800000000000011</v>
      </c>
      <c r="P35" s="3">
        <v>0</v>
      </c>
      <c r="Q35" s="3">
        <f>'[1]Feb 2023'!Q35+'March 2023'!P35</f>
        <v>32.380000000000003</v>
      </c>
      <c r="R35" s="3">
        <v>0</v>
      </c>
      <c r="S35" s="3">
        <f>'[1]Feb 2023'!S35+'March 2023'!R35</f>
        <v>0</v>
      </c>
      <c r="T35" s="3">
        <f t="shared" si="2"/>
        <v>90.800000000000011</v>
      </c>
      <c r="U35" s="3">
        <f t="shared" si="3"/>
        <v>6808.5499999999984</v>
      </c>
    </row>
    <row r="36" spans="1:21" s="4" customFormat="1" ht="38.25" customHeight="1">
      <c r="A36" s="28">
        <v>23</v>
      </c>
      <c r="B36" s="30" t="s">
        <v>42</v>
      </c>
      <c r="C36" s="3">
        <f>'[1]Feb 2023'!H36</f>
        <v>3672.42</v>
      </c>
      <c r="D36" s="3">
        <v>25.24</v>
      </c>
      <c r="E36" s="3">
        <f>'[1]Feb 2023'!E36+'March 2023'!D36</f>
        <v>246.56</v>
      </c>
      <c r="F36" s="3">
        <v>0</v>
      </c>
      <c r="G36" s="3">
        <f>'[1]Feb 2023'!G36+'March 2023'!F36</f>
        <v>0</v>
      </c>
      <c r="H36" s="3">
        <f t="shared" si="0"/>
        <v>3697.66</v>
      </c>
      <c r="I36" s="3">
        <f>'[1]Feb 2023'!N36</f>
        <v>30.250000000000039</v>
      </c>
      <c r="J36" s="3">
        <v>0</v>
      </c>
      <c r="K36" s="3">
        <f>'[1]Feb 2023'!K36+'March 2023'!J36</f>
        <v>5.2</v>
      </c>
      <c r="L36" s="3">
        <v>0</v>
      </c>
      <c r="M36" s="3">
        <f>'[1]Feb 2023'!M36+'March 2023'!L36</f>
        <v>4.63</v>
      </c>
      <c r="N36" s="3">
        <f t="shared" si="1"/>
        <v>30.250000000000039</v>
      </c>
      <c r="O36" s="3">
        <f>'[1]Feb 2023'!T36</f>
        <v>36.379999999999995</v>
      </c>
      <c r="P36" s="3">
        <v>0</v>
      </c>
      <c r="Q36" s="3">
        <f>'[1]Feb 2023'!Q36+'March 2023'!P36</f>
        <v>19.29</v>
      </c>
      <c r="R36" s="3">
        <v>0</v>
      </c>
      <c r="S36" s="3">
        <f>'[1]Feb 2023'!S36+'March 2023'!R36</f>
        <v>0</v>
      </c>
      <c r="T36" s="3">
        <f t="shared" si="2"/>
        <v>36.379999999999995</v>
      </c>
      <c r="U36" s="3">
        <f t="shared" si="3"/>
        <v>3764.29</v>
      </c>
    </row>
    <row r="37" spans="1:21" s="4" customFormat="1" ht="38.25" customHeight="1">
      <c r="A37" s="28">
        <v>24</v>
      </c>
      <c r="B37" s="30" t="s">
        <v>43</v>
      </c>
      <c r="C37" s="3">
        <f>'[1]Feb 2023'!H37</f>
        <v>5081.2499999999982</v>
      </c>
      <c r="D37" s="3">
        <f>1.76+11.5</f>
        <v>13.26</v>
      </c>
      <c r="E37" s="3">
        <f>'[1]Feb 2023'!E37+'March 2023'!D37</f>
        <v>306.39000000000004</v>
      </c>
      <c r="F37" s="3">
        <v>0</v>
      </c>
      <c r="G37" s="3">
        <f>'[1]Feb 2023'!G37+'March 2023'!F37</f>
        <v>0</v>
      </c>
      <c r="H37" s="3">
        <f t="shared" si="0"/>
        <v>5094.5099999999984</v>
      </c>
      <c r="I37" s="3">
        <f>'[1]Feb 2023'!N37</f>
        <v>26.700000000000003</v>
      </c>
      <c r="J37" s="3">
        <v>0</v>
      </c>
      <c r="K37" s="3">
        <f>'[1]Feb 2023'!K37+'March 2023'!J37</f>
        <v>14.27</v>
      </c>
      <c r="L37" s="3">
        <v>0</v>
      </c>
      <c r="M37" s="3">
        <f>'[1]Feb 2023'!M37+'March 2023'!L37</f>
        <v>1.06</v>
      </c>
      <c r="N37" s="3">
        <f t="shared" si="1"/>
        <v>26.700000000000003</v>
      </c>
      <c r="O37" s="3">
        <f>'[1]Feb 2023'!T37</f>
        <v>3.0599999999999996</v>
      </c>
      <c r="P37" s="3">
        <v>0</v>
      </c>
      <c r="Q37" s="3">
        <f>'[1]Feb 2023'!Q37+'March 2023'!P37</f>
        <v>0</v>
      </c>
      <c r="R37" s="3">
        <v>0</v>
      </c>
      <c r="S37" s="3">
        <f>'[1]Feb 2023'!S37+'March 2023'!R37</f>
        <v>3.46</v>
      </c>
      <c r="T37" s="3">
        <f t="shared" si="2"/>
        <v>3.0599999999999996</v>
      </c>
      <c r="U37" s="3">
        <f t="shared" si="3"/>
        <v>5124.2699999999986</v>
      </c>
    </row>
    <row r="38" spans="1:21" s="4" customFormat="1" ht="38.25" customHeight="1">
      <c r="A38" s="27"/>
      <c r="B38" s="29" t="s">
        <v>44</v>
      </c>
      <c r="C38" s="5">
        <f>SUM(C34:C37)</f>
        <v>19979.449999999997</v>
      </c>
      <c r="D38" s="5">
        <f t="shared" ref="D38:S38" si="11">SUM(D34:D37)</f>
        <v>83.09</v>
      </c>
      <c r="E38" s="5">
        <f t="shared" si="11"/>
        <v>1184.53</v>
      </c>
      <c r="F38" s="5">
        <f t="shared" si="11"/>
        <v>0</v>
      </c>
      <c r="G38" s="5">
        <f t="shared" si="11"/>
        <v>9.89</v>
      </c>
      <c r="H38" s="5">
        <f t="shared" si="0"/>
        <v>20062.539999999997</v>
      </c>
      <c r="I38" s="5">
        <f t="shared" si="11"/>
        <v>199.16000000000003</v>
      </c>
      <c r="J38" s="5">
        <f t="shared" si="11"/>
        <v>0</v>
      </c>
      <c r="K38" s="5">
        <f t="shared" si="11"/>
        <v>154.76</v>
      </c>
      <c r="L38" s="5">
        <f t="shared" si="11"/>
        <v>0</v>
      </c>
      <c r="M38" s="5">
        <f t="shared" si="11"/>
        <v>5.6899999999999995</v>
      </c>
      <c r="N38" s="5">
        <f t="shared" si="1"/>
        <v>199.16000000000003</v>
      </c>
      <c r="O38" s="5">
        <f t="shared" si="11"/>
        <v>202.94</v>
      </c>
      <c r="P38" s="5">
        <f t="shared" si="11"/>
        <v>0</v>
      </c>
      <c r="Q38" s="5">
        <f t="shared" si="11"/>
        <v>124.37</v>
      </c>
      <c r="R38" s="5">
        <f t="shared" si="11"/>
        <v>0</v>
      </c>
      <c r="S38" s="5">
        <f t="shared" si="11"/>
        <v>3.46</v>
      </c>
      <c r="T38" s="5">
        <f t="shared" si="2"/>
        <v>202.94</v>
      </c>
      <c r="U38" s="5">
        <f t="shared" si="3"/>
        <v>20464.639999999996</v>
      </c>
    </row>
    <row r="39" spans="1:21" s="4" customFormat="1" ht="38.25" customHeight="1">
      <c r="A39" s="27"/>
      <c r="B39" s="29" t="s">
        <v>45</v>
      </c>
      <c r="C39" s="5">
        <f>C38+C33+C28</f>
        <v>42905.105800000005</v>
      </c>
      <c r="D39" s="5">
        <f t="shared" ref="D39:S39" si="12">D38+D33+D28</f>
        <v>130.80500000000001</v>
      </c>
      <c r="E39" s="5">
        <f t="shared" si="12"/>
        <v>1753.973</v>
      </c>
      <c r="F39" s="5">
        <f t="shared" si="12"/>
        <v>0</v>
      </c>
      <c r="G39" s="5">
        <f t="shared" si="12"/>
        <v>9.89</v>
      </c>
      <c r="H39" s="5">
        <f t="shared" si="0"/>
        <v>43035.910800000005</v>
      </c>
      <c r="I39" s="5">
        <f t="shared" si="12"/>
        <v>1458.681</v>
      </c>
      <c r="J39" s="5">
        <f t="shared" si="12"/>
        <v>17.189999999999998</v>
      </c>
      <c r="K39" s="5">
        <f t="shared" si="12"/>
        <v>349.58000000000004</v>
      </c>
      <c r="L39" s="5">
        <f t="shared" si="12"/>
        <v>0</v>
      </c>
      <c r="M39" s="5">
        <f t="shared" si="12"/>
        <v>5.6899999999999995</v>
      </c>
      <c r="N39" s="5">
        <f t="shared" si="1"/>
        <v>1475.8710000000001</v>
      </c>
      <c r="O39" s="5">
        <f t="shared" si="12"/>
        <v>393.24199999999996</v>
      </c>
      <c r="P39" s="5">
        <f t="shared" si="12"/>
        <v>0.04</v>
      </c>
      <c r="Q39" s="5">
        <f t="shared" si="12"/>
        <v>124.94</v>
      </c>
      <c r="R39" s="5">
        <f t="shared" si="12"/>
        <v>0</v>
      </c>
      <c r="S39" s="5">
        <f t="shared" si="12"/>
        <v>26.66</v>
      </c>
      <c r="T39" s="5">
        <f t="shared" si="2"/>
        <v>393.28199999999998</v>
      </c>
      <c r="U39" s="5">
        <f t="shared" si="3"/>
        <v>44905.063800000004</v>
      </c>
    </row>
    <row r="40" spans="1:21" ht="38.25" customHeight="1">
      <c r="A40" s="28">
        <v>25</v>
      </c>
      <c r="B40" s="30" t="s">
        <v>46</v>
      </c>
      <c r="C40" s="3">
        <f>'[1]Feb 2023'!H40</f>
        <v>11829.713999999998</v>
      </c>
      <c r="D40" s="3">
        <v>27.91</v>
      </c>
      <c r="E40" s="3">
        <f>'[1]Feb 2023'!E40+'March 2023'!D40</f>
        <v>467.18</v>
      </c>
      <c r="F40" s="3">
        <v>0</v>
      </c>
      <c r="G40" s="3">
        <f>'[1]Feb 2023'!G40+'March 2023'!F40</f>
        <v>0</v>
      </c>
      <c r="H40" s="3">
        <f t="shared" si="0"/>
        <v>11857.623999999998</v>
      </c>
      <c r="I40" s="3">
        <f>'[1]Feb 2023'!N40</f>
        <v>198.73</v>
      </c>
      <c r="J40" s="3">
        <v>0</v>
      </c>
      <c r="K40" s="3">
        <f>'[1]Feb 2023'!K40+'March 2023'!J40</f>
        <v>0</v>
      </c>
      <c r="L40" s="3">
        <v>0</v>
      </c>
      <c r="M40" s="3">
        <f>'[1]Feb 2023'!M40+'March 2023'!L40</f>
        <v>0</v>
      </c>
      <c r="N40" s="3">
        <f t="shared" si="1"/>
        <v>198.73</v>
      </c>
      <c r="O40" s="3">
        <f>'[1]Feb 2023'!T40</f>
        <v>106.93</v>
      </c>
      <c r="P40" s="3">
        <v>0</v>
      </c>
      <c r="Q40" s="3">
        <f>'[1]Feb 2023'!Q40+'March 2023'!P40</f>
        <v>106.93</v>
      </c>
      <c r="R40" s="3">
        <v>0</v>
      </c>
      <c r="S40" s="3">
        <f>'[1]Feb 2023'!S40+'March 2023'!R40</f>
        <v>0</v>
      </c>
      <c r="T40" s="3">
        <f t="shared" si="2"/>
        <v>106.93</v>
      </c>
      <c r="U40" s="3">
        <f t="shared" si="3"/>
        <v>12163.283999999998</v>
      </c>
    </row>
    <row r="41" spans="1:21" ht="38.25" customHeight="1">
      <c r="A41" s="28">
        <v>26</v>
      </c>
      <c r="B41" s="30" t="s">
        <v>47</v>
      </c>
      <c r="C41" s="3">
        <f>'[1]Feb 2023'!H41</f>
        <v>8392.1389999999938</v>
      </c>
      <c r="D41" s="3">
        <f>6.88+48.38</f>
        <v>55.260000000000005</v>
      </c>
      <c r="E41" s="3">
        <f>'[1]Feb 2023'!E41+'March 2023'!D41</f>
        <v>949.36200000000008</v>
      </c>
      <c r="F41" s="3">
        <v>0</v>
      </c>
      <c r="G41" s="3">
        <f>'[1]Feb 2023'!G41+'March 2023'!F41</f>
        <v>0</v>
      </c>
      <c r="H41" s="3">
        <f t="shared" si="0"/>
        <v>8447.398999999994</v>
      </c>
      <c r="I41" s="3">
        <f>'[1]Feb 2023'!N41</f>
        <v>8.67</v>
      </c>
      <c r="J41" s="3">
        <v>0</v>
      </c>
      <c r="K41" s="3">
        <f>'[1]Feb 2023'!K41+'March 2023'!J41</f>
        <v>0</v>
      </c>
      <c r="L41" s="3">
        <v>0</v>
      </c>
      <c r="M41" s="3">
        <f>'[1]Feb 2023'!M41+'March 2023'!L41</f>
        <v>0</v>
      </c>
      <c r="N41" s="3">
        <f t="shared" si="1"/>
        <v>8.67</v>
      </c>
      <c r="O41" s="3">
        <f>'[1]Feb 2023'!T41</f>
        <v>141.29000000000002</v>
      </c>
      <c r="P41" s="3">
        <v>0</v>
      </c>
      <c r="Q41" s="3">
        <f>'[1]Feb 2023'!Q41+'March 2023'!P41</f>
        <v>141.29000000000002</v>
      </c>
      <c r="R41" s="3">
        <v>0</v>
      </c>
      <c r="S41" s="3">
        <f>'[1]Feb 2023'!S41+'March 2023'!R41</f>
        <v>0</v>
      </c>
      <c r="T41" s="3">
        <f t="shared" si="2"/>
        <v>141.29000000000002</v>
      </c>
      <c r="U41" s="3">
        <f t="shared" si="3"/>
        <v>8597.3589999999949</v>
      </c>
    </row>
    <row r="42" spans="1:21" s="4" customFormat="1" ht="38.25" customHeight="1">
      <c r="A42" s="28">
        <v>27</v>
      </c>
      <c r="B42" s="30" t="s">
        <v>48</v>
      </c>
      <c r="C42" s="3">
        <f>'[1]Feb 2023'!H42</f>
        <v>13911.432999999995</v>
      </c>
      <c r="D42" s="3">
        <v>42.24</v>
      </c>
      <c r="E42" s="3">
        <f>'[1]Feb 2023'!E42+'March 2023'!D42</f>
        <v>148.23400000000001</v>
      </c>
      <c r="F42" s="3">
        <v>0</v>
      </c>
      <c r="G42" s="3">
        <f>'[1]Feb 2023'!G42+'March 2023'!F42</f>
        <v>0</v>
      </c>
      <c r="H42" s="3">
        <f t="shared" si="0"/>
        <v>13953.672999999995</v>
      </c>
      <c r="I42" s="3">
        <f>'[1]Feb 2023'!N42</f>
        <v>15.62</v>
      </c>
      <c r="J42" s="3">
        <v>0</v>
      </c>
      <c r="K42" s="3">
        <f>'[1]Feb 2023'!K42+'March 2023'!J42</f>
        <v>0</v>
      </c>
      <c r="L42" s="3">
        <v>0</v>
      </c>
      <c r="M42" s="3">
        <f>'[1]Feb 2023'!M42+'March 2023'!L42</f>
        <v>0</v>
      </c>
      <c r="N42" s="3">
        <f t="shared" si="1"/>
        <v>15.62</v>
      </c>
      <c r="O42" s="3">
        <f>'[1]Feb 2023'!T42</f>
        <v>205.35</v>
      </c>
      <c r="P42" s="3">
        <v>0</v>
      </c>
      <c r="Q42" s="3">
        <f>'[1]Feb 2023'!Q42+'March 2023'!P42</f>
        <v>166.33</v>
      </c>
      <c r="R42" s="3">
        <v>0</v>
      </c>
      <c r="S42" s="3">
        <f>'[1]Feb 2023'!S42+'March 2023'!R42</f>
        <v>0</v>
      </c>
      <c r="T42" s="3">
        <f t="shared" si="2"/>
        <v>205.35</v>
      </c>
      <c r="U42" s="3">
        <f t="shared" si="3"/>
        <v>14174.642999999996</v>
      </c>
    </row>
    <row r="43" spans="1:21" ht="38.25" customHeight="1">
      <c r="A43" s="28">
        <v>28</v>
      </c>
      <c r="B43" s="30" t="s">
        <v>49</v>
      </c>
      <c r="C43" s="3">
        <f>'[1]Feb 2023'!H43</f>
        <v>4130.0600000000013</v>
      </c>
      <c r="D43" s="3">
        <f>28.45+43.45</f>
        <v>71.900000000000006</v>
      </c>
      <c r="E43" s="3">
        <f>'[1]Feb 2023'!E43+'March 2023'!D43</f>
        <v>234.48000000000002</v>
      </c>
      <c r="F43" s="3">
        <v>0</v>
      </c>
      <c r="G43" s="3">
        <f>'[1]Feb 2023'!G43+'March 2023'!F43</f>
        <v>0</v>
      </c>
      <c r="H43" s="3">
        <f t="shared" si="0"/>
        <v>4201.9600000000009</v>
      </c>
      <c r="I43" s="3">
        <f>'[1]Feb 2023'!N43</f>
        <v>3.5</v>
      </c>
      <c r="J43" s="3">
        <v>0</v>
      </c>
      <c r="K43" s="3">
        <f>'[1]Feb 2023'!K43+'March 2023'!J43</f>
        <v>0</v>
      </c>
      <c r="L43" s="3">
        <v>0</v>
      </c>
      <c r="M43" s="3">
        <f>'[1]Feb 2023'!M43+'March 2023'!L43</f>
        <v>0</v>
      </c>
      <c r="N43" s="3">
        <f t="shared" si="1"/>
        <v>3.5</v>
      </c>
      <c r="O43" s="3">
        <f>'[1]Feb 2023'!T43</f>
        <v>29.8</v>
      </c>
      <c r="P43" s="3">
        <v>0</v>
      </c>
      <c r="Q43" s="3">
        <f>'[1]Feb 2023'!Q43+'March 2023'!P43</f>
        <v>29.8</v>
      </c>
      <c r="R43" s="3">
        <v>0</v>
      </c>
      <c r="S43" s="3">
        <f>'[1]Feb 2023'!S43+'March 2023'!R43</f>
        <v>0</v>
      </c>
      <c r="T43" s="3">
        <f t="shared" si="2"/>
        <v>29.8</v>
      </c>
      <c r="U43" s="3">
        <f t="shared" si="3"/>
        <v>4235.2600000000011</v>
      </c>
    </row>
    <row r="44" spans="1:21" s="4" customFormat="1" ht="38.25" customHeight="1">
      <c r="A44" s="27"/>
      <c r="B44" s="29" t="s">
        <v>50</v>
      </c>
      <c r="C44" s="5">
        <f>SUM(C40:C43)</f>
        <v>38263.34599999999</v>
      </c>
      <c r="D44" s="5">
        <f t="shared" ref="D44:S44" si="13">SUM(D40:D43)</f>
        <v>197.31</v>
      </c>
      <c r="E44" s="5">
        <f t="shared" si="13"/>
        <v>1799.2560000000001</v>
      </c>
      <c r="F44" s="5">
        <f t="shared" si="13"/>
        <v>0</v>
      </c>
      <c r="G44" s="5">
        <f t="shared" si="13"/>
        <v>0</v>
      </c>
      <c r="H44" s="5">
        <f t="shared" si="0"/>
        <v>38460.655999999988</v>
      </c>
      <c r="I44" s="5">
        <f t="shared" si="13"/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"/>
        <v>226.51999999999998</v>
      </c>
      <c r="O44" s="5">
        <f t="shared" si="13"/>
        <v>483.37000000000006</v>
      </c>
      <c r="P44" s="5">
        <f t="shared" si="13"/>
        <v>0</v>
      </c>
      <c r="Q44" s="5">
        <f t="shared" si="13"/>
        <v>444.35000000000008</v>
      </c>
      <c r="R44" s="5">
        <f t="shared" si="13"/>
        <v>0</v>
      </c>
      <c r="S44" s="5">
        <f t="shared" si="13"/>
        <v>0</v>
      </c>
      <c r="T44" s="5">
        <f t="shared" si="2"/>
        <v>483.37000000000006</v>
      </c>
      <c r="U44" s="5">
        <f t="shared" si="3"/>
        <v>39170.545999999988</v>
      </c>
    </row>
    <row r="45" spans="1:21" ht="38.25" customHeight="1">
      <c r="A45" s="28">
        <v>29</v>
      </c>
      <c r="B45" s="30" t="s">
        <v>51</v>
      </c>
      <c r="C45" s="3">
        <f>'[1]Feb 2023'!H45</f>
        <v>8340.6720999999998</v>
      </c>
      <c r="D45" s="3">
        <v>23.14</v>
      </c>
      <c r="E45" s="3">
        <f>'[1]Feb 2023'!E45+'March 2023'!D45</f>
        <v>311.83</v>
      </c>
      <c r="F45" s="3">
        <v>0</v>
      </c>
      <c r="G45" s="3">
        <f>'[1]Feb 2023'!G45+'March 2023'!F45</f>
        <v>0</v>
      </c>
      <c r="H45" s="3">
        <f t="shared" si="0"/>
        <v>8363.8120999999992</v>
      </c>
      <c r="I45" s="3">
        <f>'[1]Feb 2023'!N45</f>
        <v>261.04999999999995</v>
      </c>
      <c r="J45" s="3">
        <v>0</v>
      </c>
      <c r="K45" s="3">
        <f>'[1]Feb 2023'!K45+'March 2023'!J45</f>
        <v>219.13</v>
      </c>
      <c r="L45" s="3">
        <v>0</v>
      </c>
      <c r="M45" s="3">
        <f>'[1]Feb 2023'!M45+'March 2023'!L45</f>
        <v>0</v>
      </c>
      <c r="N45" s="3">
        <f t="shared" si="1"/>
        <v>261.04999999999995</v>
      </c>
      <c r="O45" s="3">
        <f>'[1]Feb 2023'!T45</f>
        <v>84.39</v>
      </c>
      <c r="P45" s="3">
        <v>0</v>
      </c>
      <c r="Q45" s="3">
        <f>'[1]Feb 2023'!Q45+'March 2023'!P45</f>
        <v>69.64</v>
      </c>
      <c r="R45" s="3">
        <v>0</v>
      </c>
      <c r="S45" s="3">
        <f>'[1]Feb 2023'!S45+'March 2023'!R45</f>
        <v>0</v>
      </c>
      <c r="T45" s="3">
        <f t="shared" si="2"/>
        <v>84.39</v>
      </c>
      <c r="U45" s="3">
        <f t="shared" si="3"/>
        <v>8709.2520999999979</v>
      </c>
    </row>
    <row r="46" spans="1:21" ht="38.25" customHeight="1">
      <c r="A46" s="28">
        <v>30</v>
      </c>
      <c r="B46" s="30" t="s">
        <v>52</v>
      </c>
      <c r="C46" s="3">
        <f>'[1]Feb 2023'!H46</f>
        <v>7912.5450000000019</v>
      </c>
      <c r="D46" s="3">
        <v>34.69</v>
      </c>
      <c r="E46" s="3">
        <f>'[1]Feb 2023'!E46+'March 2023'!D46</f>
        <v>208.74</v>
      </c>
      <c r="F46" s="3">
        <v>0</v>
      </c>
      <c r="G46" s="3">
        <f>'[1]Feb 2023'!G46+'March 2023'!F46</f>
        <v>0</v>
      </c>
      <c r="H46" s="3">
        <f t="shared" si="0"/>
        <v>7947.2350000000015</v>
      </c>
      <c r="I46" s="3">
        <f>'[1]Feb 2023'!N46</f>
        <v>0</v>
      </c>
      <c r="J46" s="3">
        <v>0</v>
      </c>
      <c r="K46" s="3">
        <f>'[1]Feb 2023'!K46+'March 2023'!J46</f>
        <v>0</v>
      </c>
      <c r="L46" s="3">
        <v>0</v>
      </c>
      <c r="M46" s="3">
        <f>'[1]Feb 2023'!M46+'March 2023'!L46</f>
        <v>0</v>
      </c>
      <c r="N46" s="3">
        <f t="shared" si="1"/>
        <v>0</v>
      </c>
      <c r="O46" s="3">
        <f>'[1]Feb 2023'!T46</f>
        <v>47.03</v>
      </c>
      <c r="P46" s="3">
        <v>0</v>
      </c>
      <c r="Q46" s="3">
        <f>'[1]Feb 2023'!Q46+'March 2023'!P46</f>
        <v>47.03</v>
      </c>
      <c r="R46" s="3">
        <v>0</v>
      </c>
      <c r="S46" s="3">
        <f>'[1]Feb 2023'!S46+'March 2023'!R46</f>
        <v>0</v>
      </c>
      <c r="T46" s="3">
        <f t="shared" si="2"/>
        <v>47.03</v>
      </c>
      <c r="U46" s="3">
        <f t="shared" si="3"/>
        <v>7994.2650000000012</v>
      </c>
    </row>
    <row r="47" spans="1:21" s="4" customFormat="1" ht="38.25" customHeight="1">
      <c r="A47" s="28">
        <v>31</v>
      </c>
      <c r="B47" s="30" t="s">
        <v>53</v>
      </c>
      <c r="C47" s="3">
        <f>'[1]Feb 2023'!H47</f>
        <v>9033.0499999999975</v>
      </c>
      <c r="D47" s="3">
        <v>44.65</v>
      </c>
      <c r="E47" s="3">
        <f>'[1]Feb 2023'!E47+'March 2023'!D47</f>
        <v>293.06</v>
      </c>
      <c r="F47" s="3">
        <v>0</v>
      </c>
      <c r="G47" s="3">
        <f>'[1]Feb 2023'!G47+'March 2023'!F47</f>
        <v>0</v>
      </c>
      <c r="H47" s="3">
        <f t="shared" si="0"/>
        <v>9077.6999999999971</v>
      </c>
      <c r="I47" s="3">
        <f>'[1]Feb 2023'!N47</f>
        <v>3.13</v>
      </c>
      <c r="J47" s="3">
        <v>0</v>
      </c>
      <c r="K47" s="3">
        <f>'[1]Feb 2023'!K47+'March 2023'!J47</f>
        <v>0</v>
      </c>
      <c r="L47" s="3">
        <v>0</v>
      </c>
      <c r="M47" s="3">
        <f>'[1]Feb 2023'!M47+'March 2023'!L47</f>
        <v>0</v>
      </c>
      <c r="N47" s="3">
        <f t="shared" si="1"/>
        <v>3.13</v>
      </c>
      <c r="O47" s="3">
        <f>'[1]Feb 2023'!T47</f>
        <v>118.94999999999999</v>
      </c>
      <c r="P47" s="3">
        <v>0</v>
      </c>
      <c r="Q47" s="3">
        <f>'[1]Feb 2023'!Q47+'March 2023'!P47</f>
        <v>118.91999999999999</v>
      </c>
      <c r="R47" s="3">
        <v>0</v>
      </c>
      <c r="S47" s="3">
        <f>'[1]Feb 2023'!S47+'March 2023'!R47</f>
        <v>0</v>
      </c>
      <c r="T47" s="3">
        <f t="shared" si="2"/>
        <v>118.94999999999999</v>
      </c>
      <c r="U47" s="3">
        <f t="shared" si="3"/>
        <v>9199.779999999997</v>
      </c>
    </row>
    <row r="48" spans="1:21" s="4" customFormat="1" ht="38.25" customHeight="1">
      <c r="A48" s="28">
        <v>32</v>
      </c>
      <c r="B48" s="30" t="s">
        <v>54</v>
      </c>
      <c r="C48" s="3">
        <f>'[1]Feb 2023'!H48</f>
        <v>8597.3989999999976</v>
      </c>
      <c r="D48" s="3">
        <v>8.5500000000000007</v>
      </c>
      <c r="E48" s="3">
        <f>'[1]Feb 2023'!E48+'March 2023'!D48</f>
        <v>409.15999999999997</v>
      </c>
      <c r="F48" s="3">
        <v>0</v>
      </c>
      <c r="G48" s="3">
        <f>'[1]Feb 2023'!G48+'March 2023'!F48</f>
        <v>0</v>
      </c>
      <c r="H48" s="3">
        <f t="shared" si="0"/>
        <v>8605.9489999999969</v>
      </c>
      <c r="I48" s="3">
        <f>'[1]Feb 2023'!N48</f>
        <v>5.0249999999999995</v>
      </c>
      <c r="J48" s="3">
        <v>0</v>
      </c>
      <c r="K48" s="3">
        <f>'[1]Feb 2023'!K48+'March 2023'!J48</f>
        <v>0</v>
      </c>
      <c r="L48" s="3">
        <v>0</v>
      </c>
      <c r="M48" s="3">
        <f>'[1]Feb 2023'!M48+'March 2023'!L48</f>
        <v>0</v>
      </c>
      <c r="N48" s="3">
        <f t="shared" si="1"/>
        <v>5.0249999999999995</v>
      </c>
      <c r="O48" s="3">
        <f>'[1]Feb 2023'!T48</f>
        <v>4.21</v>
      </c>
      <c r="P48" s="3">
        <v>0</v>
      </c>
      <c r="Q48" s="3">
        <f>'[1]Feb 2023'!Q48+'March 2023'!P48</f>
        <v>4.21</v>
      </c>
      <c r="R48" s="3">
        <v>0</v>
      </c>
      <c r="S48" s="3">
        <f>'[1]Feb 2023'!S48+'March 2023'!R48</f>
        <v>0</v>
      </c>
      <c r="T48" s="3">
        <f t="shared" si="2"/>
        <v>4.21</v>
      </c>
      <c r="U48" s="3">
        <f t="shared" si="3"/>
        <v>8615.1839999999956</v>
      </c>
    </row>
    <row r="49" spans="1:21" s="4" customFormat="1" ht="38.25" customHeight="1">
      <c r="A49" s="27"/>
      <c r="B49" s="29" t="s">
        <v>55</v>
      </c>
      <c r="C49" s="5">
        <f>SUM(C45:C48)</f>
        <v>33883.666099999995</v>
      </c>
      <c r="D49" s="5">
        <f t="shared" ref="D49:S49" si="14">SUM(D45:D48)</f>
        <v>111.02999999999999</v>
      </c>
      <c r="E49" s="5">
        <f t="shared" si="14"/>
        <v>1222.79</v>
      </c>
      <c r="F49" s="5">
        <f t="shared" si="14"/>
        <v>0</v>
      </c>
      <c r="G49" s="5">
        <f t="shared" si="14"/>
        <v>0</v>
      </c>
      <c r="H49" s="5">
        <f t="shared" si="0"/>
        <v>33994.696099999994</v>
      </c>
      <c r="I49" s="5">
        <f t="shared" si="14"/>
        <v>269.20499999999993</v>
      </c>
      <c r="J49" s="5">
        <f t="shared" si="14"/>
        <v>0</v>
      </c>
      <c r="K49" s="5">
        <f t="shared" si="14"/>
        <v>219.13</v>
      </c>
      <c r="L49" s="5">
        <f t="shared" si="14"/>
        <v>0</v>
      </c>
      <c r="M49" s="5">
        <f t="shared" si="14"/>
        <v>0</v>
      </c>
      <c r="N49" s="5">
        <f t="shared" si="1"/>
        <v>269.20499999999993</v>
      </c>
      <c r="O49" s="5">
        <f t="shared" si="14"/>
        <v>254.58</v>
      </c>
      <c r="P49" s="5">
        <f t="shared" si="14"/>
        <v>0</v>
      </c>
      <c r="Q49" s="5">
        <f t="shared" si="14"/>
        <v>239.79999999999998</v>
      </c>
      <c r="R49" s="5">
        <f t="shared" si="14"/>
        <v>0</v>
      </c>
      <c r="S49" s="5">
        <f t="shared" si="14"/>
        <v>0</v>
      </c>
      <c r="T49" s="5">
        <f t="shared" si="2"/>
        <v>254.58</v>
      </c>
      <c r="U49" s="5">
        <f t="shared" si="3"/>
        <v>34518.481099999997</v>
      </c>
    </row>
    <row r="50" spans="1:21" s="4" customFormat="1" ht="38.25" customHeight="1">
      <c r="A50" s="27"/>
      <c r="B50" s="29" t="s">
        <v>56</v>
      </c>
      <c r="C50" s="5">
        <f>C49+C44</f>
        <v>72147.012099999993</v>
      </c>
      <c r="D50" s="5">
        <f t="shared" ref="D50:S50" si="15">D49+D44</f>
        <v>308.33999999999997</v>
      </c>
      <c r="E50" s="5">
        <f t="shared" si="15"/>
        <v>3022.0460000000003</v>
      </c>
      <c r="F50" s="5">
        <f t="shared" si="15"/>
        <v>0</v>
      </c>
      <c r="G50" s="5">
        <f t="shared" si="15"/>
        <v>0</v>
      </c>
      <c r="H50" s="5">
        <f t="shared" si="0"/>
        <v>72455.352099999989</v>
      </c>
      <c r="I50" s="5">
        <f t="shared" si="15"/>
        <v>495.72499999999991</v>
      </c>
      <c r="J50" s="5">
        <f t="shared" si="15"/>
        <v>0</v>
      </c>
      <c r="K50" s="5">
        <f t="shared" si="15"/>
        <v>219.13</v>
      </c>
      <c r="L50" s="5">
        <f t="shared" si="15"/>
        <v>0</v>
      </c>
      <c r="M50" s="5">
        <f t="shared" si="15"/>
        <v>0</v>
      </c>
      <c r="N50" s="5">
        <f t="shared" si="1"/>
        <v>495.72499999999991</v>
      </c>
      <c r="O50" s="5">
        <f t="shared" si="15"/>
        <v>737.95</v>
      </c>
      <c r="P50" s="5">
        <f t="shared" si="15"/>
        <v>0</v>
      </c>
      <c r="Q50" s="5">
        <f t="shared" si="15"/>
        <v>684.15000000000009</v>
      </c>
      <c r="R50" s="5">
        <f t="shared" si="15"/>
        <v>0</v>
      </c>
      <c r="S50" s="5">
        <f t="shared" si="15"/>
        <v>0</v>
      </c>
      <c r="T50" s="5">
        <f t="shared" si="2"/>
        <v>737.95</v>
      </c>
      <c r="U50" s="5">
        <f t="shared" si="3"/>
        <v>73689.027099999992</v>
      </c>
    </row>
    <row r="51" spans="1:21" s="4" customFormat="1" ht="38.25" customHeight="1">
      <c r="A51" s="27"/>
      <c r="B51" s="29" t="s">
        <v>57</v>
      </c>
      <c r="C51" s="5">
        <f>C50+C39+C25</f>
        <v>118999.9439</v>
      </c>
      <c r="D51" s="5">
        <f t="shared" ref="D51:S51" si="16">D50+D39+D25</f>
        <v>440.28499999999997</v>
      </c>
      <c r="E51" s="5">
        <f t="shared" si="16"/>
        <v>4793.299</v>
      </c>
      <c r="F51" s="5">
        <f t="shared" si="16"/>
        <v>4.1099999999999994</v>
      </c>
      <c r="G51" s="5">
        <f t="shared" si="16"/>
        <v>769.67000000000007</v>
      </c>
      <c r="H51" s="26">
        <f t="shared" si="0"/>
        <v>119436.1189</v>
      </c>
      <c r="I51" s="5">
        <f t="shared" si="16"/>
        <v>10838.858</v>
      </c>
      <c r="J51" s="5">
        <f t="shared" si="16"/>
        <v>70.328000000000003</v>
      </c>
      <c r="K51" s="5">
        <f t="shared" si="16"/>
        <v>2486.3419999999996</v>
      </c>
      <c r="L51" s="5">
        <f t="shared" si="16"/>
        <v>0.3</v>
      </c>
      <c r="M51" s="5">
        <f t="shared" si="16"/>
        <v>8.1499999999999986</v>
      </c>
      <c r="N51" s="26">
        <f t="shared" si="1"/>
        <v>10908.886</v>
      </c>
      <c r="O51" s="5">
        <f t="shared" si="16"/>
        <v>1676.6</v>
      </c>
      <c r="P51" s="5">
        <f t="shared" si="16"/>
        <v>1.24</v>
      </c>
      <c r="Q51" s="5">
        <f t="shared" si="16"/>
        <v>814.79000000000019</v>
      </c>
      <c r="R51" s="5">
        <f t="shared" si="16"/>
        <v>0.6</v>
      </c>
      <c r="S51" s="5">
        <f t="shared" si="16"/>
        <v>79.03</v>
      </c>
      <c r="T51" s="26">
        <f t="shared" si="2"/>
        <v>1677.24</v>
      </c>
      <c r="U51" s="5">
        <f t="shared" si="3"/>
        <v>132022.24489999999</v>
      </c>
    </row>
    <row r="52" spans="1:21" s="4" customFormat="1" ht="28.5" customHeight="1">
      <c r="A52" s="9"/>
      <c r="B52" s="1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s="9" customFormat="1" ht="24.75" customHeight="1">
      <c r="B53" s="11"/>
      <c r="C53" s="88" t="s">
        <v>58</v>
      </c>
      <c r="D53" s="88"/>
      <c r="E53" s="88"/>
      <c r="F53" s="88"/>
      <c r="G53" s="88"/>
      <c r="H53" s="12"/>
      <c r="I53" s="32"/>
      <c r="J53" s="32">
        <f>D51+J51+P51-F51-L51-R51</f>
        <v>506.8429999999999</v>
      </c>
      <c r="K53" s="32"/>
      <c r="L53" s="32"/>
      <c r="M53" s="32"/>
      <c r="N53" s="32"/>
      <c r="R53" s="32"/>
      <c r="U53" s="32"/>
    </row>
    <row r="54" spans="1:21" s="9" customFormat="1" ht="30" customHeight="1">
      <c r="B54" s="11"/>
      <c r="C54" s="88" t="s">
        <v>59</v>
      </c>
      <c r="D54" s="88"/>
      <c r="E54" s="88"/>
      <c r="F54" s="88"/>
      <c r="G54" s="88"/>
      <c r="H54" s="13"/>
      <c r="I54" s="32"/>
      <c r="J54" s="32">
        <f>E51+K51+Q51-G51-M51-S51</f>
        <v>7237.5810000000001</v>
      </c>
      <c r="K54" s="32"/>
      <c r="L54" s="32"/>
      <c r="M54" s="32"/>
      <c r="N54" s="32"/>
      <c r="R54" s="32"/>
      <c r="T54" s="32"/>
    </row>
    <row r="55" spans="1:21" ht="54" customHeight="1">
      <c r="C55" s="88" t="s">
        <v>60</v>
      </c>
      <c r="D55" s="88"/>
      <c r="E55" s="88"/>
      <c r="F55" s="88"/>
      <c r="G55" s="88"/>
      <c r="H55" s="13"/>
      <c r="I55" s="15"/>
      <c r="J55" s="11">
        <f>H51+N51+T51</f>
        <v>132022.24489999999</v>
      </c>
      <c r="K55" s="13"/>
      <c r="L55" s="13"/>
      <c r="M55" s="16"/>
      <c r="N55" s="13"/>
      <c r="P55" s="9"/>
      <c r="Q55" s="17"/>
      <c r="U55" s="17"/>
    </row>
    <row r="56" spans="1:21">
      <c r="H56" s="21"/>
      <c r="I56" s="24"/>
      <c r="J56" s="23"/>
      <c r="K56" s="13"/>
    </row>
    <row r="57" spans="1:21">
      <c r="H57" s="23"/>
      <c r="I57" s="24"/>
      <c r="J57" s="23"/>
    </row>
    <row r="58" spans="1:21">
      <c r="H58" s="23"/>
      <c r="I58" s="24"/>
      <c r="J58" s="23"/>
    </row>
    <row r="59" spans="1:21">
      <c r="P59" s="1"/>
      <c r="Q59" s="1"/>
      <c r="R59" s="1"/>
      <c r="S59" s="2"/>
      <c r="T59" s="1"/>
      <c r="U59" s="1"/>
    </row>
    <row r="60" spans="1:21">
      <c r="P60" s="1"/>
      <c r="Q60" s="1"/>
      <c r="R60" s="1"/>
      <c r="S60" s="2"/>
      <c r="T60" s="1"/>
      <c r="U60" s="1"/>
    </row>
  </sheetData>
  <mergeCells count="25">
    <mergeCell ref="C53:G53"/>
    <mergeCell ref="C54:G54"/>
    <mergeCell ref="C55:G55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9" scale="2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opLeftCell="A40" zoomScale="39" zoomScaleNormal="39" workbookViewId="0">
      <selection activeCell="I59" sqref="I59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70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'Nov 2023'!H7</f>
        <v>7.179999999999982</v>
      </c>
      <c r="D7" s="3">
        <v>0</v>
      </c>
      <c r="E7" s="3">
        <f>'Nov 2023'!E7+'Dec 2023'!D7</f>
        <v>0</v>
      </c>
      <c r="F7" s="3">
        <v>0</v>
      </c>
      <c r="G7" s="3">
        <f>'Nov 2023'!G7+'Dec 2023'!F7</f>
        <v>0</v>
      </c>
      <c r="H7" s="3">
        <f>C7+D7-F7</f>
        <v>7.179999999999982</v>
      </c>
      <c r="I7" s="3">
        <f>'Nov 2023'!N7</f>
        <v>728.85699999999974</v>
      </c>
      <c r="J7" s="3">
        <v>0.70499999999999996</v>
      </c>
      <c r="K7" s="3">
        <f>'Nov 2023'!K7+'Dec 2023'!J7</f>
        <v>15.105000000000002</v>
      </c>
      <c r="L7" s="3">
        <v>0</v>
      </c>
      <c r="M7" s="3">
        <f>'Nov 2023'!M7+'Dec 2023'!L7</f>
        <v>0</v>
      </c>
      <c r="N7" s="3">
        <f>I7+J7-L7</f>
        <v>729.56199999999978</v>
      </c>
      <c r="O7" s="3">
        <f>'Nov 2023'!T7</f>
        <v>8.436000000000007</v>
      </c>
      <c r="P7" s="3">
        <v>0</v>
      </c>
      <c r="Q7" s="3">
        <f>'Nov 2023'!Q7+'Dec 2023'!P7</f>
        <v>0</v>
      </c>
      <c r="R7" s="3">
        <v>0</v>
      </c>
      <c r="S7" s="3">
        <f>'Nov 2023'!S7+'Dec 2023'!R7</f>
        <v>0</v>
      </c>
      <c r="T7" s="3">
        <f>O7+P7-R7</f>
        <v>8.436000000000007</v>
      </c>
      <c r="U7" s="3">
        <f>H7+N7+T7</f>
        <v>745.17799999999977</v>
      </c>
    </row>
    <row r="8" spans="1:22" ht="38.25" customHeight="1">
      <c r="A8" s="35">
        <v>2</v>
      </c>
      <c r="B8" s="38" t="s">
        <v>14</v>
      </c>
      <c r="C8" s="3">
        <f>'Nov 2023'!H8</f>
        <v>265.98999999999995</v>
      </c>
      <c r="D8" s="3">
        <v>0</v>
      </c>
      <c r="E8" s="3">
        <f>'Nov 2023'!E8+'Dec 2023'!D8</f>
        <v>0</v>
      </c>
      <c r="F8" s="3">
        <v>0</v>
      </c>
      <c r="G8" s="3">
        <f>'Nov 2023'!G8+'Dec 2023'!F8</f>
        <v>0</v>
      </c>
      <c r="H8" s="3">
        <f t="shared" ref="H8:H48" si="0">C8+D8-F8</f>
        <v>265.98999999999995</v>
      </c>
      <c r="I8" s="3">
        <f>'Nov 2023'!N8</f>
        <v>486.13600000000014</v>
      </c>
      <c r="J8" s="3">
        <v>3.7850000000000001</v>
      </c>
      <c r="K8" s="3">
        <f>'Nov 2023'!K8+'Dec 2023'!J8</f>
        <v>91.775000000000006</v>
      </c>
      <c r="L8" s="3">
        <v>0</v>
      </c>
      <c r="M8" s="3">
        <f>'Nov 2023'!M8+'Dec 2023'!L8</f>
        <v>0</v>
      </c>
      <c r="N8" s="3">
        <f t="shared" ref="N8:N48" si="1">I8+J8-L8</f>
        <v>489.92100000000016</v>
      </c>
      <c r="O8" s="3">
        <f>'Nov 2023'!T8</f>
        <v>66.290000000000006</v>
      </c>
      <c r="P8" s="3">
        <v>0</v>
      </c>
      <c r="Q8" s="3">
        <f>'Nov 2023'!Q8+'Dec 2023'!P8</f>
        <v>0</v>
      </c>
      <c r="R8" s="3">
        <v>0</v>
      </c>
      <c r="S8" s="3">
        <f>'Nov 2023'!S8+'Dec 2023'!R8</f>
        <v>0</v>
      </c>
      <c r="T8" s="3">
        <f t="shared" ref="T8:T48" si="2">O8+P8-R8</f>
        <v>66.290000000000006</v>
      </c>
      <c r="U8" s="3">
        <f t="shared" ref="U8:U48" si="3">H8+N8+T8</f>
        <v>822.20100000000002</v>
      </c>
    </row>
    <row r="9" spans="1:22" ht="38.25" customHeight="1">
      <c r="A9" s="35">
        <v>3</v>
      </c>
      <c r="B9" s="38" t="s">
        <v>15</v>
      </c>
      <c r="C9" s="3">
        <f>'Nov 2023'!H9</f>
        <v>209.16</v>
      </c>
      <c r="D9" s="3">
        <v>0</v>
      </c>
      <c r="E9" s="3">
        <f>'Nov 2023'!E9+'Dec 2023'!D9</f>
        <v>0</v>
      </c>
      <c r="F9" s="3">
        <v>0</v>
      </c>
      <c r="G9" s="3">
        <f>'Nov 2023'!G9+'Dec 2023'!F9</f>
        <v>0</v>
      </c>
      <c r="H9" s="3">
        <f t="shared" si="0"/>
        <v>209.16</v>
      </c>
      <c r="I9" s="3">
        <f>'Nov 2023'!N9</f>
        <v>951.48799999999983</v>
      </c>
      <c r="J9" s="3">
        <v>3.48</v>
      </c>
      <c r="K9" s="3">
        <f>'Nov 2023'!K9+'Dec 2023'!J9</f>
        <v>51.719999999999992</v>
      </c>
      <c r="L9" s="3">
        <v>0.28999999999999998</v>
      </c>
      <c r="M9" s="3">
        <f>'Nov 2023'!M9+'Dec 2023'!L9</f>
        <v>0.28999999999999998</v>
      </c>
      <c r="N9" s="3">
        <f t="shared" si="1"/>
        <v>954.67799999999988</v>
      </c>
      <c r="O9" s="3">
        <f>'Nov 2023'!T9</f>
        <v>44.739999999999995</v>
      </c>
      <c r="P9" s="3">
        <v>0</v>
      </c>
      <c r="Q9" s="3">
        <f>'Nov 2023'!Q9+'Dec 2023'!P9</f>
        <v>0</v>
      </c>
      <c r="R9" s="3">
        <v>0</v>
      </c>
      <c r="S9" s="3">
        <f>'Nov 2023'!S9+'Dec 2023'!R9</f>
        <v>0</v>
      </c>
      <c r="T9" s="3">
        <f t="shared" si="2"/>
        <v>44.739999999999995</v>
      </c>
      <c r="U9" s="3">
        <f t="shared" si="3"/>
        <v>1208.578</v>
      </c>
    </row>
    <row r="10" spans="1:22" s="4" customFormat="1" ht="38.25" customHeight="1">
      <c r="A10" s="35">
        <v>4</v>
      </c>
      <c r="B10" s="38" t="s">
        <v>16</v>
      </c>
      <c r="C10" s="3">
        <f>'Nov 2023'!H10</f>
        <v>0</v>
      </c>
      <c r="D10" s="3">
        <v>0</v>
      </c>
      <c r="E10" s="3">
        <f>'Nov 2023'!E10+'Dec 2023'!D10</f>
        <v>0</v>
      </c>
      <c r="F10" s="3">
        <v>0</v>
      </c>
      <c r="G10" s="3">
        <f>'Nov 2023'!G10+'Dec 2023'!F10</f>
        <v>0</v>
      </c>
      <c r="H10" s="3">
        <f t="shared" si="0"/>
        <v>0</v>
      </c>
      <c r="I10" s="3">
        <f>'Nov 2023'!N10</f>
        <v>372.95599999999985</v>
      </c>
      <c r="J10" s="3">
        <v>0.75</v>
      </c>
      <c r="K10" s="3">
        <f>'Nov 2023'!K10+'Dec 2023'!J10</f>
        <v>8.7330000000000005</v>
      </c>
      <c r="L10" s="3">
        <v>0</v>
      </c>
      <c r="M10" s="3">
        <f>'Nov 2023'!M10+'Dec 2023'!L10</f>
        <v>0</v>
      </c>
      <c r="N10" s="3">
        <f t="shared" si="1"/>
        <v>373.70599999999985</v>
      </c>
      <c r="O10" s="3">
        <f>'Nov 2023'!T10</f>
        <v>0.20000000000000007</v>
      </c>
      <c r="P10" s="3">
        <v>0</v>
      </c>
      <c r="Q10" s="3">
        <f>'Nov 2023'!Q10+'Dec 2023'!P10</f>
        <v>0</v>
      </c>
      <c r="R10" s="3">
        <v>0</v>
      </c>
      <c r="S10" s="3">
        <f>'Nov 2023'!S10+'Dec 2023'!R10</f>
        <v>0</v>
      </c>
      <c r="T10" s="3">
        <f t="shared" si="2"/>
        <v>0.20000000000000007</v>
      </c>
      <c r="U10" s="3">
        <f t="shared" si="3"/>
        <v>373.90599999999984</v>
      </c>
    </row>
    <row r="11" spans="1:22" s="4" customFormat="1" ht="38.25" customHeight="1">
      <c r="A11" s="34"/>
      <c r="B11" s="37" t="s">
        <v>17</v>
      </c>
      <c r="C11" s="5">
        <f>'Nov 2023'!H11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'Nov 2023'!N11</f>
        <v>2539.4369999999994</v>
      </c>
      <c r="J11" s="5">
        <f t="shared" si="4"/>
        <v>8.7200000000000006</v>
      </c>
      <c r="K11" s="5">
        <f t="shared" si="4"/>
        <v>167.333</v>
      </c>
      <c r="L11" s="5">
        <f t="shared" si="4"/>
        <v>0.28999999999999998</v>
      </c>
      <c r="M11" s="5">
        <f t="shared" si="4"/>
        <v>0.28999999999999998</v>
      </c>
      <c r="N11" s="5">
        <f t="shared" si="4"/>
        <v>2547.8669999999997</v>
      </c>
      <c r="O11" s="5">
        <f>'Nov 2023'!T11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3149.8629999999998</v>
      </c>
      <c r="V11" s="33"/>
    </row>
    <row r="12" spans="1:22" ht="38.25" customHeight="1">
      <c r="A12" s="35">
        <v>5</v>
      </c>
      <c r="B12" s="38" t="s">
        <v>18</v>
      </c>
      <c r="C12" s="3">
        <f>'Nov 2023'!H12</f>
        <v>22.179999999999609</v>
      </c>
      <c r="D12" s="3">
        <v>0</v>
      </c>
      <c r="E12" s="3">
        <f>'Nov 2023'!E12+'Dec 2023'!D12</f>
        <v>0</v>
      </c>
      <c r="F12" s="3">
        <v>0</v>
      </c>
      <c r="G12" s="3">
        <f>'Nov 2023'!G12+'Dec 2023'!F12</f>
        <v>0</v>
      </c>
      <c r="H12" s="3">
        <f t="shared" si="0"/>
        <v>22.179999999999609</v>
      </c>
      <c r="I12" s="3">
        <f>'Nov 2023'!N12</f>
        <v>1296.5149999999996</v>
      </c>
      <c r="J12" s="25">
        <v>2.92</v>
      </c>
      <c r="K12" s="3">
        <f>'Nov 2023'!K12+'Dec 2023'!J12</f>
        <v>23</v>
      </c>
      <c r="L12" s="3">
        <v>0</v>
      </c>
      <c r="M12" s="3">
        <f>'Nov 2023'!M12+'Dec 2023'!L12</f>
        <v>0</v>
      </c>
      <c r="N12" s="3">
        <f t="shared" si="1"/>
        <v>1299.4349999999997</v>
      </c>
      <c r="O12" s="3">
        <f>'Nov 2023'!T12</f>
        <v>1.9700000000000095</v>
      </c>
      <c r="P12" s="3">
        <v>0</v>
      </c>
      <c r="Q12" s="3">
        <f>'Nov 2023'!Q12+'Dec 2023'!P12</f>
        <v>0</v>
      </c>
      <c r="R12" s="3">
        <v>0</v>
      </c>
      <c r="S12" s="3">
        <f>'Nov 2023'!S12+'Dec 2023'!R12</f>
        <v>0</v>
      </c>
      <c r="T12" s="3">
        <f t="shared" si="2"/>
        <v>1.9700000000000095</v>
      </c>
      <c r="U12" s="3">
        <f t="shared" si="3"/>
        <v>1323.5849999999994</v>
      </c>
    </row>
    <row r="13" spans="1:22" ht="38.25" customHeight="1">
      <c r="A13" s="35">
        <v>6</v>
      </c>
      <c r="B13" s="38" t="s">
        <v>19</v>
      </c>
      <c r="C13" s="3">
        <f>'Nov 2023'!H13</f>
        <v>312.23000000000013</v>
      </c>
      <c r="D13" s="3">
        <v>0</v>
      </c>
      <c r="E13" s="3">
        <f>'Nov 2023'!E13+'Dec 2023'!D13</f>
        <v>0</v>
      </c>
      <c r="F13" s="3">
        <v>0</v>
      </c>
      <c r="G13" s="3">
        <f>'Nov 2023'!G13+'Dec 2023'!F13</f>
        <v>0</v>
      </c>
      <c r="H13" s="3">
        <f t="shared" si="0"/>
        <v>312.23000000000013</v>
      </c>
      <c r="I13" s="3">
        <f>'Nov 2023'!N13</f>
        <v>558.88200000000018</v>
      </c>
      <c r="J13" s="25">
        <v>1.66</v>
      </c>
      <c r="K13" s="3">
        <f>'Nov 2023'!K13+'Dec 2023'!J13</f>
        <v>15.010000000000002</v>
      </c>
      <c r="L13" s="3">
        <v>0</v>
      </c>
      <c r="M13" s="3">
        <f>'Nov 2023'!M13+'Dec 2023'!L13</f>
        <v>0</v>
      </c>
      <c r="N13" s="3">
        <f t="shared" si="1"/>
        <v>560.54200000000014</v>
      </c>
      <c r="O13" s="3">
        <f>'Nov 2023'!T13</f>
        <v>68.39</v>
      </c>
      <c r="P13" s="3">
        <v>0</v>
      </c>
      <c r="Q13" s="3">
        <f>'Nov 2023'!Q13+'Dec 2023'!P13</f>
        <v>0</v>
      </c>
      <c r="R13" s="3">
        <v>0</v>
      </c>
      <c r="S13" s="3">
        <f>'Nov 2023'!S13+'Dec 2023'!R13</f>
        <v>0</v>
      </c>
      <c r="T13" s="3">
        <f t="shared" si="2"/>
        <v>68.39</v>
      </c>
      <c r="U13" s="3">
        <f t="shared" si="3"/>
        <v>941.16200000000026</v>
      </c>
    </row>
    <row r="14" spans="1:22" s="4" customFormat="1" ht="38.25" customHeight="1">
      <c r="A14" s="35">
        <v>7</v>
      </c>
      <c r="B14" s="38" t="s">
        <v>20</v>
      </c>
      <c r="C14" s="3">
        <f>'Nov 2023'!H14</f>
        <v>1216.4399999999994</v>
      </c>
      <c r="D14" s="3">
        <v>0</v>
      </c>
      <c r="E14" s="3">
        <f>'Nov 2023'!E14+'Dec 2023'!D14</f>
        <v>0</v>
      </c>
      <c r="F14" s="3">
        <v>5</v>
      </c>
      <c r="G14" s="3">
        <f>'Nov 2023'!G14+'Dec 2023'!F14</f>
        <v>5</v>
      </c>
      <c r="H14" s="3">
        <f t="shared" si="0"/>
        <v>1211.4399999999994</v>
      </c>
      <c r="I14" s="3">
        <f>'Nov 2023'!N14</f>
        <v>936.72800000000041</v>
      </c>
      <c r="J14" s="25">
        <v>7.5</v>
      </c>
      <c r="K14" s="3">
        <f>'Nov 2023'!K14+'Dec 2023'!J14</f>
        <v>40.729999999999997</v>
      </c>
      <c r="L14" s="3">
        <v>0</v>
      </c>
      <c r="M14" s="3">
        <f>'Nov 2023'!M14+'Dec 2023'!L14</f>
        <v>0</v>
      </c>
      <c r="N14" s="3">
        <f t="shared" si="1"/>
        <v>944.22800000000041</v>
      </c>
      <c r="O14" s="3">
        <f>'Nov 2023'!T14</f>
        <v>61.329999999999991</v>
      </c>
      <c r="P14" s="3">
        <v>0</v>
      </c>
      <c r="Q14" s="3">
        <f>'Nov 2023'!Q14+'Dec 2023'!P14</f>
        <v>0</v>
      </c>
      <c r="R14" s="3">
        <v>0</v>
      </c>
      <c r="S14" s="3">
        <f>'Nov 2023'!S14+'Dec 2023'!R14</f>
        <v>0</v>
      </c>
      <c r="T14" s="3">
        <f t="shared" si="2"/>
        <v>61.329999999999991</v>
      </c>
      <c r="U14" s="3">
        <f t="shared" si="3"/>
        <v>2216.9979999999996</v>
      </c>
    </row>
    <row r="15" spans="1:22" s="4" customFormat="1" ht="38.25" customHeight="1">
      <c r="A15" s="34"/>
      <c r="B15" s="37" t="s">
        <v>21</v>
      </c>
      <c r="C15" s="5">
        <f>'Nov 2023'!H15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5</v>
      </c>
      <c r="G15" s="5">
        <f t="shared" si="5"/>
        <v>5</v>
      </c>
      <c r="H15" s="5">
        <f t="shared" si="5"/>
        <v>1545.849999999999</v>
      </c>
      <c r="I15" s="5">
        <f>'Nov 2023'!N15</f>
        <v>2792.1250000000005</v>
      </c>
      <c r="J15" s="5">
        <f t="shared" si="5"/>
        <v>12.08</v>
      </c>
      <c r="K15" s="5">
        <f t="shared" si="5"/>
        <v>78.740000000000009</v>
      </c>
      <c r="L15" s="5">
        <f t="shared" si="5"/>
        <v>0</v>
      </c>
      <c r="M15" s="5">
        <f t="shared" si="5"/>
        <v>0</v>
      </c>
      <c r="N15" s="5">
        <f t="shared" si="5"/>
        <v>2804.2050000000004</v>
      </c>
      <c r="O15" s="5">
        <f>'Nov 2023'!T15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4481.744999999999</v>
      </c>
      <c r="V15" s="33"/>
    </row>
    <row r="16" spans="1:22" s="6" customFormat="1" ht="38.25" customHeight="1">
      <c r="A16" s="35">
        <v>8</v>
      </c>
      <c r="B16" s="38" t="s">
        <v>22</v>
      </c>
      <c r="C16" s="3">
        <f>'Nov 2023'!H16</f>
        <v>762.40400000000045</v>
      </c>
      <c r="D16" s="3">
        <v>2.68</v>
      </c>
      <c r="E16" s="3">
        <f>'Nov 2023'!E16+'Dec 2023'!D16</f>
        <v>16.159999999999997</v>
      </c>
      <c r="F16" s="3">
        <v>0</v>
      </c>
      <c r="G16" s="3">
        <f>'Nov 2023'!G16+'Dec 2023'!F16</f>
        <v>7.24</v>
      </c>
      <c r="H16" s="3">
        <f t="shared" si="0"/>
        <v>765.0840000000004</v>
      </c>
      <c r="I16" s="3">
        <f>'Nov 2023'!N16</f>
        <v>588.7560000000002</v>
      </c>
      <c r="J16" s="3">
        <v>1.48</v>
      </c>
      <c r="K16" s="3">
        <f>'Nov 2023'!K16+'Dec 2023'!J16</f>
        <v>13.260000000000002</v>
      </c>
      <c r="L16" s="3">
        <v>0</v>
      </c>
      <c r="M16" s="3">
        <f>'Nov 2023'!M16+'Dec 2023'!L16</f>
        <v>0</v>
      </c>
      <c r="N16" s="3">
        <f t="shared" si="1"/>
        <v>590.23600000000022</v>
      </c>
      <c r="O16" s="3">
        <f>'Nov 2023'!T16</f>
        <v>113.46200000000005</v>
      </c>
      <c r="P16" s="3">
        <v>0</v>
      </c>
      <c r="Q16" s="3">
        <f>'Nov 2023'!Q16+'Dec 2023'!P16</f>
        <v>0.19</v>
      </c>
      <c r="R16" s="3">
        <v>54.2</v>
      </c>
      <c r="S16" s="3">
        <f>'Nov 2023'!S16+'Dec 2023'!R16</f>
        <v>118.37</v>
      </c>
      <c r="T16" s="3">
        <f t="shared" si="2"/>
        <v>59.262000000000043</v>
      </c>
      <c r="U16" s="3">
        <f t="shared" si="3"/>
        <v>1414.5820000000006</v>
      </c>
    </row>
    <row r="17" spans="1:23" ht="61.5" customHeight="1">
      <c r="A17" s="7">
        <v>9</v>
      </c>
      <c r="B17" s="8" t="s">
        <v>23</v>
      </c>
      <c r="C17" s="3">
        <f>'Nov 2023'!H17</f>
        <v>2.7259999999999476</v>
      </c>
      <c r="D17" s="3">
        <v>0</v>
      </c>
      <c r="E17" s="3">
        <f>'Nov 2023'!E17+'Dec 2023'!D17</f>
        <v>0.05</v>
      </c>
      <c r="F17" s="3">
        <v>2.5299999999999998</v>
      </c>
      <c r="G17" s="3">
        <f>'Nov 2023'!G17+'Dec 2023'!F17</f>
        <v>2.5299999999999998</v>
      </c>
      <c r="H17" s="3">
        <f t="shared" si="0"/>
        <v>0.19599999999994777</v>
      </c>
      <c r="I17" s="3">
        <f>'Nov 2023'!N17</f>
        <v>610.40000000000009</v>
      </c>
      <c r="J17" s="3">
        <v>1.03</v>
      </c>
      <c r="K17" s="3">
        <f>'Nov 2023'!K17+'Dec 2023'!J17</f>
        <v>22.74</v>
      </c>
      <c r="L17" s="3">
        <v>0</v>
      </c>
      <c r="M17" s="3">
        <f>'Nov 2023'!M17+'Dec 2023'!L17</f>
        <v>0.43</v>
      </c>
      <c r="N17" s="3">
        <f t="shared" si="1"/>
        <v>611.43000000000006</v>
      </c>
      <c r="O17" s="3">
        <f>'Nov 2023'!T17</f>
        <v>1.5399999999999998</v>
      </c>
      <c r="P17" s="3">
        <v>0</v>
      </c>
      <c r="Q17" s="3">
        <f>'Nov 2023'!Q17+'Dec 2023'!P17</f>
        <v>1.22</v>
      </c>
      <c r="R17" s="3">
        <v>0</v>
      </c>
      <c r="S17" s="3">
        <f>'Nov 2023'!S17+'Dec 2023'!R17</f>
        <v>1.63</v>
      </c>
      <c r="T17" s="3">
        <f t="shared" si="2"/>
        <v>1.5399999999999998</v>
      </c>
      <c r="U17" s="3">
        <f t="shared" si="3"/>
        <v>613.16599999999994</v>
      </c>
    </row>
    <row r="18" spans="1:23" s="4" customFormat="1" ht="38.25" customHeight="1">
      <c r="A18" s="35">
        <v>10</v>
      </c>
      <c r="B18" s="38" t="s">
        <v>24</v>
      </c>
      <c r="C18" s="3">
        <f>'Nov 2023'!H18</f>
        <v>90.266000000000147</v>
      </c>
      <c r="D18" s="3">
        <v>0</v>
      </c>
      <c r="E18" s="3">
        <f>'Nov 2023'!E18+'Dec 2023'!D18</f>
        <v>0.05</v>
      </c>
      <c r="F18" s="3">
        <v>0</v>
      </c>
      <c r="G18" s="3">
        <f>'Nov 2023'!G18+'Dec 2023'!F18</f>
        <v>0.05</v>
      </c>
      <c r="H18" s="3">
        <f t="shared" si="0"/>
        <v>90.266000000000147</v>
      </c>
      <c r="I18" s="3">
        <f>'Nov 2023'!N18</f>
        <v>624.45000000000016</v>
      </c>
      <c r="J18" s="3">
        <v>5.62</v>
      </c>
      <c r="K18" s="3">
        <f>'Nov 2023'!K18+'Dec 2023'!J18</f>
        <v>13.805</v>
      </c>
      <c r="L18" s="3">
        <v>5.1100000000000003</v>
      </c>
      <c r="M18" s="3">
        <f>'Nov 2023'!M18+'Dec 2023'!L18</f>
        <v>6.1400000000000006</v>
      </c>
      <c r="N18" s="3">
        <f t="shared" si="1"/>
        <v>624.96000000000015</v>
      </c>
      <c r="O18" s="3">
        <f>'Nov 2023'!T18</f>
        <v>35.689999999999991</v>
      </c>
      <c r="P18" s="3">
        <v>0</v>
      </c>
      <c r="Q18" s="3">
        <f>'Nov 2023'!Q18+'Dec 2023'!P18</f>
        <v>0</v>
      </c>
      <c r="R18" s="3">
        <v>0</v>
      </c>
      <c r="S18" s="3">
        <f>'Nov 2023'!S18+'Dec 2023'!R18</f>
        <v>0</v>
      </c>
      <c r="T18" s="3">
        <f t="shared" si="2"/>
        <v>35.689999999999991</v>
      </c>
      <c r="U18" s="3">
        <f t="shared" si="3"/>
        <v>750.91600000000028</v>
      </c>
    </row>
    <row r="19" spans="1:23" s="4" customFormat="1" ht="38.25" customHeight="1">
      <c r="A19" s="34"/>
      <c r="B19" s="37" t="s">
        <v>25</v>
      </c>
      <c r="C19" s="5">
        <f>'Nov 2023'!H19</f>
        <v>855.39600000000064</v>
      </c>
      <c r="D19" s="5">
        <f t="shared" ref="D19:U19" si="6">SUM(D16:D18)</f>
        <v>2.68</v>
      </c>
      <c r="E19" s="5">
        <f t="shared" si="6"/>
        <v>16.259999999999998</v>
      </c>
      <c r="F19" s="5">
        <f t="shared" si="6"/>
        <v>2.5299999999999998</v>
      </c>
      <c r="G19" s="5">
        <f t="shared" si="6"/>
        <v>9.82</v>
      </c>
      <c r="H19" s="5">
        <f t="shared" si="6"/>
        <v>855.5460000000005</v>
      </c>
      <c r="I19" s="5">
        <f>'Nov 2023'!N19</f>
        <v>1823.6060000000007</v>
      </c>
      <c r="J19" s="5">
        <f t="shared" si="6"/>
        <v>8.129999999999999</v>
      </c>
      <c r="K19" s="5">
        <f t="shared" si="6"/>
        <v>49.805</v>
      </c>
      <c r="L19" s="5">
        <f t="shared" si="6"/>
        <v>5.1100000000000003</v>
      </c>
      <c r="M19" s="5">
        <f t="shared" si="6"/>
        <v>6.57</v>
      </c>
      <c r="N19" s="5">
        <f t="shared" si="6"/>
        <v>1826.6260000000002</v>
      </c>
      <c r="O19" s="5">
        <f>'Nov 2023'!T19</f>
        <v>150.69200000000004</v>
      </c>
      <c r="P19" s="5">
        <f t="shared" si="6"/>
        <v>0</v>
      </c>
      <c r="Q19" s="5">
        <f t="shared" si="6"/>
        <v>1.41</v>
      </c>
      <c r="R19" s="5">
        <f t="shared" si="6"/>
        <v>54.2</v>
      </c>
      <c r="S19" s="5">
        <f t="shared" si="6"/>
        <v>120</v>
      </c>
      <c r="T19" s="5">
        <f t="shared" si="6"/>
        <v>96.492000000000033</v>
      </c>
      <c r="U19" s="5">
        <f t="shared" si="6"/>
        <v>2778.6640000000007</v>
      </c>
    </row>
    <row r="20" spans="1:23" ht="38.25" customHeight="1">
      <c r="A20" s="35">
        <v>11</v>
      </c>
      <c r="B20" s="38" t="s">
        <v>26</v>
      </c>
      <c r="C20" s="3">
        <f>'Nov 2023'!H20</f>
        <v>607.42999999999984</v>
      </c>
      <c r="D20" s="3">
        <v>0</v>
      </c>
      <c r="E20" s="3">
        <f>'Nov 2023'!E20+'Dec 2023'!D20</f>
        <v>0</v>
      </c>
      <c r="F20" s="3">
        <v>0</v>
      </c>
      <c r="G20" s="3">
        <f>'Nov 2023'!G20+'Dec 2023'!F20</f>
        <v>0</v>
      </c>
      <c r="H20" s="3">
        <f t="shared" si="0"/>
        <v>607.42999999999984</v>
      </c>
      <c r="I20" s="3">
        <f>'Nov 2023'!N20</f>
        <v>774.47800000000018</v>
      </c>
      <c r="J20" s="3">
        <v>1.62</v>
      </c>
      <c r="K20" s="3">
        <f>'Nov 2023'!K20+'Dec 2023'!J20</f>
        <v>27.71</v>
      </c>
      <c r="L20" s="3">
        <v>0</v>
      </c>
      <c r="M20" s="3">
        <f>'Nov 2023'!M20+'Dec 2023'!L20</f>
        <v>0.02</v>
      </c>
      <c r="N20" s="3">
        <f t="shared" si="1"/>
        <v>776.09800000000018</v>
      </c>
      <c r="O20" s="3">
        <f>'Nov 2023'!T20</f>
        <v>37.580000000000005</v>
      </c>
      <c r="P20" s="3">
        <v>0</v>
      </c>
      <c r="Q20" s="3">
        <f>'Nov 2023'!Q20+'Dec 2023'!P20</f>
        <v>0</v>
      </c>
      <c r="R20" s="3">
        <v>0</v>
      </c>
      <c r="S20" s="3">
        <f>'Nov 2023'!S20+'Dec 2023'!R20</f>
        <v>0</v>
      </c>
      <c r="T20" s="3">
        <f t="shared" si="2"/>
        <v>37.580000000000005</v>
      </c>
      <c r="U20" s="3">
        <f t="shared" si="3"/>
        <v>1421.1079999999999</v>
      </c>
      <c r="W20" s="90"/>
    </row>
    <row r="21" spans="1:23" ht="38.25" customHeight="1">
      <c r="A21" s="35">
        <v>12</v>
      </c>
      <c r="B21" s="38" t="s">
        <v>27</v>
      </c>
      <c r="C21" s="3">
        <f>'Nov 2023'!H21</f>
        <v>1.2000000000000002</v>
      </c>
      <c r="D21" s="3">
        <v>0</v>
      </c>
      <c r="E21" s="3">
        <f>'Nov 2023'!E21+'Dec 2023'!D21</f>
        <v>0</v>
      </c>
      <c r="F21" s="3">
        <v>0</v>
      </c>
      <c r="G21" s="3">
        <f>'Nov 2023'!G21+'Dec 2023'!F21</f>
        <v>0.87</v>
      </c>
      <c r="H21" s="3">
        <f t="shared" si="0"/>
        <v>1.2000000000000002</v>
      </c>
      <c r="I21" s="3">
        <f>'Nov 2023'!N21</f>
        <v>471.81700000000012</v>
      </c>
      <c r="J21" s="3">
        <v>0.1</v>
      </c>
      <c r="K21" s="3">
        <f>'Nov 2023'!K21+'Dec 2023'!J21</f>
        <v>10.510000000000002</v>
      </c>
      <c r="L21" s="3">
        <v>0</v>
      </c>
      <c r="M21" s="3">
        <f>'Nov 2023'!M21+'Dec 2023'!L21</f>
        <v>0.02</v>
      </c>
      <c r="N21" s="3">
        <f t="shared" si="1"/>
        <v>471.91700000000014</v>
      </c>
      <c r="O21" s="3">
        <f>'Nov 2023'!T21</f>
        <v>2.649999999999995</v>
      </c>
      <c r="P21" s="3">
        <v>0</v>
      </c>
      <c r="Q21" s="3">
        <f>'Nov 2023'!Q21+'Dec 2023'!P21</f>
        <v>0</v>
      </c>
      <c r="R21" s="3">
        <v>0</v>
      </c>
      <c r="S21" s="3">
        <f>'Nov 2023'!S21+'Dec 2023'!R21</f>
        <v>16.239999999999998</v>
      </c>
      <c r="T21" s="3">
        <f t="shared" si="2"/>
        <v>2.649999999999995</v>
      </c>
      <c r="U21" s="3">
        <f t="shared" si="3"/>
        <v>475.76700000000011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'Nov 2023'!H22</f>
        <v>22.430000000000021</v>
      </c>
      <c r="D22" s="3">
        <v>0</v>
      </c>
      <c r="E22" s="3">
        <f>'Nov 2023'!E22+'Dec 2023'!D22</f>
        <v>0</v>
      </c>
      <c r="F22" s="3">
        <v>0</v>
      </c>
      <c r="G22" s="3">
        <f>'Nov 2023'!G22+'Dec 2023'!F22</f>
        <v>0</v>
      </c>
      <c r="H22" s="3">
        <f t="shared" si="0"/>
        <v>22.430000000000021</v>
      </c>
      <c r="I22" s="3">
        <f>'Nov 2023'!N22</f>
        <v>702.34</v>
      </c>
      <c r="J22" s="3">
        <v>0.36</v>
      </c>
      <c r="K22" s="3">
        <f>'Nov 2023'!K22+'Dec 2023'!J22</f>
        <v>4.4800000000000004</v>
      </c>
      <c r="L22" s="3">
        <v>0</v>
      </c>
      <c r="M22" s="3">
        <f>'Nov 2023'!M22+'Dec 2023'!L22</f>
        <v>0</v>
      </c>
      <c r="N22" s="3">
        <f t="shared" si="1"/>
        <v>702.7</v>
      </c>
      <c r="O22" s="3">
        <f>'Nov 2023'!T22</f>
        <v>0.60000000000000098</v>
      </c>
      <c r="P22" s="3">
        <v>0</v>
      </c>
      <c r="Q22" s="3">
        <f>'Nov 2023'!Q22+'Dec 2023'!P22</f>
        <v>0</v>
      </c>
      <c r="R22" s="3">
        <v>0</v>
      </c>
      <c r="S22" s="3">
        <f>'Nov 2023'!S22+'Dec 2023'!R22</f>
        <v>0</v>
      </c>
      <c r="T22" s="3">
        <f t="shared" si="2"/>
        <v>0.60000000000000098</v>
      </c>
      <c r="U22" s="3">
        <f t="shared" si="3"/>
        <v>725.73000000000013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'Nov 2023'!H23</f>
        <v>436.16999999999996</v>
      </c>
      <c r="D23" s="3">
        <v>0</v>
      </c>
      <c r="E23" s="3">
        <f>'Nov 2023'!E23+'Dec 2023'!D23</f>
        <v>36.53</v>
      </c>
      <c r="F23" s="3">
        <v>0</v>
      </c>
      <c r="G23" s="3">
        <f>'Nov 2023'!G23+'Dec 2023'!F23</f>
        <v>31</v>
      </c>
      <c r="H23" s="3">
        <f t="shared" si="0"/>
        <v>436.16999999999996</v>
      </c>
      <c r="I23" s="3">
        <f>'Nov 2023'!N23</f>
        <v>148.51499999999996</v>
      </c>
      <c r="J23" s="3">
        <v>0.57999999999999996</v>
      </c>
      <c r="K23" s="3">
        <f>'Nov 2023'!K23+'Dec 2023'!J23</f>
        <v>9.5400000000000009</v>
      </c>
      <c r="L23" s="3">
        <v>0</v>
      </c>
      <c r="M23" s="3">
        <f>'Nov 2023'!M23+'Dec 2023'!L23</f>
        <v>0</v>
      </c>
      <c r="N23" s="3">
        <f t="shared" si="1"/>
        <v>149.09499999999997</v>
      </c>
      <c r="O23" s="3">
        <f>'Nov 2023'!T23</f>
        <v>22.5</v>
      </c>
      <c r="P23" s="3">
        <v>0</v>
      </c>
      <c r="Q23" s="3">
        <f>'Nov 2023'!Q23+'Dec 2023'!P23</f>
        <v>0</v>
      </c>
      <c r="R23" s="3">
        <v>0</v>
      </c>
      <c r="S23" s="3">
        <f>'Nov 2023'!S23+'Dec 2023'!R23</f>
        <v>0</v>
      </c>
      <c r="T23" s="3">
        <f t="shared" si="2"/>
        <v>22.5</v>
      </c>
      <c r="U23" s="3">
        <f t="shared" si="3"/>
        <v>607.76499999999987</v>
      </c>
      <c r="W23" s="90"/>
    </row>
    <row r="24" spans="1:23" s="4" customFormat="1" ht="38.25" customHeight="1">
      <c r="A24" s="34"/>
      <c r="B24" s="37" t="s">
        <v>30</v>
      </c>
      <c r="C24" s="5">
        <f>'Nov 2023'!H24</f>
        <v>1067.23</v>
      </c>
      <c r="D24" s="5">
        <f t="shared" ref="D24:U24" si="7">SUM(D20:D23)</f>
        <v>0</v>
      </c>
      <c r="E24" s="5">
        <f t="shared" si="7"/>
        <v>36.53</v>
      </c>
      <c r="F24" s="5">
        <f t="shared" si="7"/>
        <v>0</v>
      </c>
      <c r="G24" s="5">
        <f t="shared" si="7"/>
        <v>31.87</v>
      </c>
      <c r="H24" s="5">
        <f t="shared" si="7"/>
        <v>1067.23</v>
      </c>
      <c r="I24" s="5">
        <f>'Nov 2023'!N24</f>
        <v>2097.15</v>
      </c>
      <c r="J24" s="5">
        <f t="shared" si="7"/>
        <v>2.66</v>
      </c>
      <c r="K24" s="5">
        <f t="shared" si="7"/>
        <v>52.24</v>
      </c>
      <c r="L24" s="5">
        <f t="shared" si="7"/>
        <v>0</v>
      </c>
      <c r="M24" s="5">
        <f t="shared" si="7"/>
        <v>0.04</v>
      </c>
      <c r="N24" s="5">
        <f t="shared" si="7"/>
        <v>2099.8100000000004</v>
      </c>
      <c r="O24" s="5">
        <f>'Nov 2023'!T24</f>
        <v>63.330000000000005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16.239999999999998</v>
      </c>
      <c r="T24" s="5">
        <f t="shared" si="7"/>
        <v>63.330000000000005</v>
      </c>
      <c r="U24" s="5">
        <f t="shared" si="7"/>
        <v>3230.37</v>
      </c>
    </row>
    <row r="25" spans="1:23" s="4" customFormat="1" ht="38.25" customHeight="1">
      <c r="A25" s="34"/>
      <c r="B25" s="37" t="s">
        <v>31</v>
      </c>
      <c r="C25" s="5">
        <f>'Nov 2023'!H25</f>
        <v>3955.8059999999996</v>
      </c>
      <c r="D25" s="5">
        <f t="shared" ref="D25:U25" si="8">D24+D19+D15+D11</f>
        <v>2.68</v>
      </c>
      <c r="E25" s="5">
        <f t="shared" si="8"/>
        <v>52.79</v>
      </c>
      <c r="F25" s="5">
        <f t="shared" si="8"/>
        <v>7.5299999999999994</v>
      </c>
      <c r="G25" s="5">
        <f t="shared" si="8"/>
        <v>46.69</v>
      </c>
      <c r="H25" s="5">
        <f t="shared" si="8"/>
        <v>3950.9559999999992</v>
      </c>
      <c r="I25" s="5">
        <f>'Nov 2023'!N25</f>
        <v>9252.3180000000011</v>
      </c>
      <c r="J25" s="5">
        <f t="shared" si="8"/>
        <v>31.589999999999996</v>
      </c>
      <c r="K25" s="5">
        <f t="shared" si="8"/>
        <v>348.11800000000005</v>
      </c>
      <c r="L25" s="5">
        <f t="shared" si="8"/>
        <v>5.4</v>
      </c>
      <c r="M25" s="5">
        <f t="shared" si="8"/>
        <v>6.9</v>
      </c>
      <c r="N25" s="5">
        <f t="shared" si="8"/>
        <v>9278.5080000000016</v>
      </c>
      <c r="O25" s="5">
        <f>'Nov 2023'!T25</f>
        <v>465.37800000000004</v>
      </c>
      <c r="P25" s="5">
        <f t="shared" si="8"/>
        <v>0</v>
      </c>
      <c r="Q25" s="5">
        <f t="shared" si="8"/>
        <v>1.41</v>
      </c>
      <c r="R25" s="5">
        <f t="shared" si="8"/>
        <v>54.2</v>
      </c>
      <c r="S25" s="5">
        <f t="shared" si="8"/>
        <v>136.24</v>
      </c>
      <c r="T25" s="5">
        <f t="shared" si="8"/>
        <v>411.17800000000005</v>
      </c>
      <c r="U25" s="5">
        <f t="shared" si="8"/>
        <v>13640.641999999998</v>
      </c>
    </row>
    <row r="26" spans="1:23" ht="38.25" customHeight="1">
      <c r="A26" s="35">
        <v>15</v>
      </c>
      <c r="B26" s="38" t="s">
        <v>32</v>
      </c>
      <c r="C26" s="3">
        <f>'Nov 2023'!H26</f>
        <v>1672.7300000000002</v>
      </c>
      <c r="D26" s="3">
        <v>5.72</v>
      </c>
      <c r="E26" s="3">
        <f>'Nov 2023'!E26+'Dec 2023'!D26</f>
        <v>50.16</v>
      </c>
      <c r="F26" s="3">
        <v>0</v>
      </c>
      <c r="G26" s="3">
        <f>'Nov 2023'!G26+'Dec 2023'!F26</f>
        <v>0</v>
      </c>
      <c r="H26" s="3">
        <f t="shared" si="0"/>
        <v>1678.4500000000003</v>
      </c>
      <c r="I26" s="3">
        <f>'Nov 2023'!N26</f>
        <v>123.21000000000001</v>
      </c>
      <c r="J26" s="3">
        <v>7.0000000000000007E-2</v>
      </c>
      <c r="K26" s="3">
        <f>'Nov 2023'!K26+'Dec 2023'!J26</f>
        <v>1.7300000000000002</v>
      </c>
      <c r="L26" s="3">
        <v>0</v>
      </c>
      <c r="M26" s="3">
        <f>'Nov 2023'!M26+'Dec 2023'!L26</f>
        <v>0</v>
      </c>
      <c r="N26" s="3">
        <f t="shared" si="1"/>
        <v>123.28</v>
      </c>
      <c r="O26" s="3">
        <f>'Nov 2023'!T26</f>
        <v>16.489999999999998</v>
      </c>
      <c r="P26" s="3">
        <v>0</v>
      </c>
      <c r="Q26" s="3">
        <f>'Nov 2023'!Q26+'Dec 2023'!P26</f>
        <v>0.12</v>
      </c>
      <c r="R26" s="3">
        <v>0</v>
      </c>
      <c r="S26" s="3">
        <f>'Nov 2023'!S26+'Dec 2023'!R26</f>
        <v>0</v>
      </c>
      <c r="T26" s="3">
        <f t="shared" si="2"/>
        <v>16.489999999999998</v>
      </c>
      <c r="U26" s="3">
        <f t="shared" si="3"/>
        <v>1818.2200000000003</v>
      </c>
    </row>
    <row r="27" spans="1:23" s="4" customFormat="1" ht="38.25" customHeight="1">
      <c r="A27" s="35">
        <v>16</v>
      </c>
      <c r="B27" s="38" t="s">
        <v>33</v>
      </c>
      <c r="C27" s="3">
        <f>'Nov 2023'!H27</f>
        <v>5739.225000000004</v>
      </c>
      <c r="D27" s="3">
        <v>3.37</v>
      </c>
      <c r="E27" s="3">
        <f>'Nov 2023'!E27+'Dec 2023'!D27</f>
        <v>57.24</v>
      </c>
      <c r="F27" s="3">
        <v>0</v>
      </c>
      <c r="G27" s="3">
        <f>'Nov 2023'!G27+'Dec 2023'!F27</f>
        <v>0.02</v>
      </c>
      <c r="H27" s="3">
        <f t="shared" si="0"/>
        <v>5742.5950000000039</v>
      </c>
      <c r="I27" s="3">
        <f>'Nov 2023'!N27</f>
        <v>649.70799999999986</v>
      </c>
      <c r="J27" s="3">
        <v>15.29</v>
      </c>
      <c r="K27" s="3">
        <f>'Nov 2023'!K27+'Dec 2023'!J27</f>
        <v>30.839999999999996</v>
      </c>
      <c r="L27" s="3">
        <v>0</v>
      </c>
      <c r="M27" s="3">
        <f>'Nov 2023'!M27+'Dec 2023'!L27</f>
        <v>0.02</v>
      </c>
      <c r="N27" s="3">
        <f t="shared" si="1"/>
        <v>664.99799999999982</v>
      </c>
      <c r="O27" s="3">
        <f>'Nov 2023'!T27</f>
        <v>34.630000000000003</v>
      </c>
      <c r="P27" s="3">
        <v>0</v>
      </c>
      <c r="Q27" s="3">
        <f>'Nov 2023'!Q27+'Dec 2023'!P27</f>
        <v>0.83000000000000007</v>
      </c>
      <c r="R27" s="3">
        <v>0</v>
      </c>
      <c r="S27" s="3">
        <f>'Nov 2023'!S27+'Dec 2023'!R27</f>
        <v>0</v>
      </c>
      <c r="T27" s="3">
        <f t="shared" si="2"/>
        <v>34.630000000000003</v>
      </c>
      <c r="U27" s="3">
        <f t="shared" si="3"/>
        <v>6442.2230000000036</v>
      </c>
    </row>
    <row r="28" spans="1:23" s="4" customFormat="1" ht="38.25" customHeight="1">
      <c r="A28" s="34"/>
      <c r="B28" s="37" t="s">
        <v>34</v>
      </c>
      <c r="C28" s="5">
        <f>'Nov 2023'!H28</f>
        <v>7411.9550000000045</v>
      </c>
      <c r="D28" s="5">
        <f t="shared" ref="D28:U28" si="9">SUM(D26:D27)</f>
        <v>9.09</v>
      </c>
      <c r="E28" s="5">
        <f t="shared" si="9"/>
        <v>107.4</v>
      </c>
      <c r="F28" s="5">
        <f t="shared" si="9"/>
        <v>0</v>
      </c>
      <c r="G28" s="5">
        <f t="shared" si="9"/>
        <v>0.02</v>
      </c>
      <c r="H28" s="5">
        <f t="shared" si="9"/>
        <v>7421.0450000000037</v>
      </c>
      <c r="I28" s="5">
        <f>'Nov 2023'!N28</f>
        <v>772.91799999999989</v>
      </c>
      <c r="J28" s="5">
        <f t="shared" si="9"/>
        <v>15.36</v>
      </c>
      <c r="K28" s="5">
        <f t="shared" si="9"/>
        <v>32.569999999999993</v>
      </c>
      <c r="L28" s="5">
        <f t="shared" si="9"/>
        <v>0</v>
      </c>
      <c r="M28" s="5">
        <f t="shared" si="9"/>
        <v>0.02</v>
      </c>
      <c r="N28" s="5">
        <f t="shared" si="9"/>
        <v>788.27799999999979</v>
      </c>
      <c r="O28" s="5">
        <f>'Nov 2023'!T28</f>
        <v>51.120000000000005</v>
      </c>
      <c r="P28" s="5">
        <f t="shared" si="9"/>
        <v>0</v>
      </c>
      <c r="Q28" s="5">
        <f t="shared" si="9"/>
        <v>0.95000000000000007</v>
      </c>
      <c r="R28" s="5">
        <f t="shared" si="9"/>
        <v>0</v>
      </c>
      <c r="S28" s="5">
        <f t="shared" si="9"/>
        <v>0</v>
      </c>
      <c r="T28" s="5">
        <f t="shared" si="9"/>
        <v>51.120000000000005</v>
      </c>
      <c r="U28" s="5">
        <f t="shared" si="9"/>
        <v>8260.4430000000029</v>
      </c>
    </row>
    <row r="29" spans="1:23" ht="38.25" customHeight="1">
      <c r="A29" s="35">
        <v>17</v>
      </c>
      <c r="B29" s="38" t="s">
        <v>35</v>
      </c>
      <c r="C29" s="3">
        <f>'Nov 2023'!H29</f>
        <v>5021.130000000001</v>
      </c>
      <c r="D29" s="3">
        <v>1.37</v>
      </c>
      <c r="E29" s="3">
        <f>'Nov 2023'!E29+'Dec 2023'!D29</f>
        <v>141.46200000000002</v>
      </c>
      <c r="F29" s="3">
        <v>0</v>
      </c>
      <c r="G29" s="3">
        <f>'Nov 2023'!G29+'Dec 2023'!F29</f>
        <v>0</v>
      </c>
      <c r="H29" s="3">
        <f t="shared" si="0"/>
        <v>5022.5000000000009</v>
      </c>
      <c r="I29" s="3">
        <f>'Nov 2023'!N29</f>
        <v>123.61000000000001</v>
      </c>
      <c r="J29" s="3">
        <v>0.13</v>
      </c>
      <c r="K29" s="3">
        <f>'Nov 2023'!K29+'Dec 2023'!J29</f>
        <v>2.2099999999999995</v>
      </c>
      <c r="L29" s="3">
        <v>0</v>
      </c>
      <c r="M29" s="3">
        <f>'Nov 2023'!M29+'Dec 2023'!L29</f>
        <v>0</v>
      </c>
      <c r="N29" s="3">
        <f t="shared" si="1"/>
        <v>123.74000000000001</v>
      </c>
      <c r="O29" s="3">
        <f>'Nov 2023'!T29</f>
        <v>34.52000000000001</v>
      </c>
      <c r="P29" s="3">
        <v>0</v>
      </c>
      <c r="Q29" s="3">
        <f>'Nov 2023'!Q29+'Dec 2023'!P29</f>
        <v>0</v>
      </c>
      <c r="R29" s="3">
        <v>0</v>
      </c>
      <c r="S29" s="3">
        <f>'Nov 2023'!S29+'Dec 2023'!R29</f>
        <v>0</v>
      </c>
      <c r="T29" s="3">
        <f t="shared" si="2"/>
        <v>34.52000000000001</v>
      </c>
      <c r="U29" s="3">
        <f t="shared" si="3"/>
        <v>5180.7600000000011</v>
      </c>
      <c r="W29" s="89"/>
    </row>
    <row r="30" spans="1:23" ht="54.75" customHeight="1">
      <c r="A30" s="35">
        <v>18</v>
      </c>
      <c r="B30" s="38" t="s">
        <v>36</v>
      </c>
      <c r="C30" s="3">
        <f>'Nov 2023'!H30</f>
        <v>3757.2949999999992</v>
      </c>
      <c r="D30" s="3">
        <v>8.0090000000000003</v>
      </c>
      <c r="E30" s="3">
        <f>'Nov 2023'!E30+'Dec 2023'!D30</f>
        <v>63.154000000000003</v>
      </c>
      <c r="F30" s="3">
        <v>0</v>
      </c>
      <c r="G30" s="3">
        <f>'Nov 2023'!G30+'Dec 2023'!F30</f>
        <v>0</v>
      </c>
      <c r="H30" s="3">
        <f t="shared" si="0"/>
        <v>3765.3039999999992</v>
      </c>
      <c r="I30" s="3">
        <f>'Nov 2023'!N30</f>
        <v>232.36699999999999</v>
      </c>
      <c r="J30" s="3">
        <v>0</v>
      </c>
      <c r="K30" s="3">
        <f>'Nov 2023'!K30+'Dec 2023'!J30</f>
        <v>33.78</v>
      </c>
      <c r="L30" s="3">
        <v>0</v>
      </c>
      <c r="M30" s="3">
        <f>'Nov 2023'!M30+'Dec 2023'!L30</f>
        <v>0</v>
      </c>
      <c r="N30" s="3">
        <f t="shared" si="1"/>
        <v>232.36699999999999</v>
      </c>
      <c r="O30" s="3">
        <f>'Nov 2023'!T30</f>
        <v>23.25</v>
      </c>
      <c r="P30" s="3">
        <v>0</v>
      </c>
      <c r="Q30" s="3">
        <f>'Nov 2023'!Q30+'Dec 2023'!P30</f>
        <v>0</v>
      </c>
      <c r="R30" s="3">
        <v>0</v>
      </c>
      <c r="S30" s="3">
        <f>'Nov 2023'!S30+'Dec 2023'!R30</f>
        <v>0</v>
      </c>
      <c r="T30" s="3">
        <f t="shared" si="2"/>
        <v>23.25</v>
      </c>
      <c r="U30" s="3">
        <f t="shared" si="3"/>
        <v>4020.9209999999994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'Nov 2023'!H31</f>
        <v>4718.3720000000012</v>
      </c>
      <c r="D31" s="3">
        <v>1.1499999999999999</v>
      </c>
      <c r="E31" s="3">
        <f>'Nov 2023'!E31+'Dec 2023'!D31</f>
        <v>17.029999999999998</v>
      </c>
      <c r="F31" s="3">
        <v>0</v>
      </c>
      <c r="G31" s="3">
        <f>'Nov 2023'!G31+'Dec 2023'!F31</f>
        <v>0</v>
      </c>
      <c r="H31" s="3">
        <f t="shared" si="0"/>
        <v>4719.5220000000008</v>
      </c>
      <c r="I31" s="3">
        <f>'Nov 2023'!N31</f>
        <v>107.89500000000002</v>
      </c>
      <c r="J31" s="3">
        <v>0</v>
      </c>
      <c r="K31" s="3">
        <f>'Nov 2023'!K31+'Dec 2023'!J31</f>
        <v>0.20499999999999999</v>
      </c>
      <c r="L31" s="3">
        <v>0</v>
      </c>
      <c r="M31" s="3">
        <f>'Nov 2023'!M31+'Dec 2023'!L31</f>
        <v>0</v>
      </c>
      <c r="N31" s="3">
        <f t="shared" si="1"/>
        <v>107.89500000000002</v>
      </c>
      <c r="O31" s="3">
        <f>'Nov 2023'!T31</f>
        <v>14.850000000000001</v>
      </c>
      <c r="P31" s="3">
        <v>0</v>
      </c>
      <c r="Q31" s="3">
        <f>'Nov 2023'!Q31+'Dec 2023'!P31</f>
        <v>0</v>
      </c>
      <c r="R31" s="3">
        <v>0</v>
      </c>
      <c r="S31" s="3">
        <f>'Nov 2023'!S31+'Dec 2023'!R31</f>
        <v>0</v>
      </c>
      <c r="T31" s="3">
        <f t="shared" si="2"/>
        <v>14.850000000000001</v>
      </c>
      <c r="U31" s="3">
        <f t="shared" si="3"/>
        <v>4842.2670000000016</v>
      </c>
      <c r="W31" s="89"/>
    </row>
    <row r="32" spans="1:23" ht="70.5" customHeight="1">
      <c r="A32" s="35">
        <v>20</v>
      </c>
      <c r="B32" s="38" t="s">
        <v>38</v>
      </c>
      <c r="C32" s="3">
        <f>'Nov 2023'!H32</f>
        <v>2389.1857999999988</v>
      </c>
      <c r="D32" s="3">
        <v>4.32</v>
      </c>
      <c r="E32" s="3">
        <f>'Nov 2023'!E32+'Dec 2023'!D32</f>
        <v>29.21</v>
      </c>
      <c r="F32" s="3">
        <v>0</v>
      </c>
      <c r="G32" s="3">
        <f>'Nov 2023'!G32+'Dec 2023'!F32</f>
        <v>9.73</v>
      </c>
      <c r="H32" s="3">
        <f t="shared" si="0"/>
        <v>2393.505799999999</v>
      </c>
      <c r="I32" s="3">
        <f>'Nov 2023'!N32</f>
        <v>112.06400000000004</v>
      </c>
      <c r="J32" s="3">
        <v>1.49</v>
      </c>
      <c r="K32" s="3">
        <f>'Nov 2023'!K32+'Dec 2023'!J32</f>
        <v>20.377999999999997</v>
      </c>
      <c r="L32" s="3">
        <v>0</v>
      </c>
      <c r="M32" s="3">
        <f>'Nov 2023'!M32+'Dec 2023'!L32</f>
        <v>0</v>
      </c>
      <c r="N32" s="3">
        <f t="shared" si="1"/>
        <v>113.55400000000003</v>
      </c>
      <c r="O32" s="3">
        <f>'Nov 2023'!T32</f>
        <v>67.551999999999992</v>
      </c>
      <c r="P32" s="3">
        <v>0</v>
      </c>
      <c r="Q32" s="3">
        <f>'Nov 2023'!Q32+'Dec 2023'!P32</f>
        <v>0</v>
      </c>
      <c r="R32" s="3">
        <v>0</v>
      </c>
      <c r="S32" s="3">
        <f>'Nov 2023'!S32+'Dec 2023'!R32</f>
        <v>0</v>
      </c>
      <c r="T32" s="3">
        <f t="shared" si="2"/>
        <v>67.551999999999992</v>
      </c>
      <c r="U32" s="3">
        <f t="shared" si="3"/>
        <v>2574.6117999999992</v>
      </c>
      <c r="W32" s="89"/>
    </row>
    <row r="33" spans="1:23" s="4" customFormat="1" ht="38.25" customHeight="1">
      <c r="A33" s="34"/>
      <c r="B33" s="37" t="s">
        <v>39</v>
      </c>
      <c r="C33" s="5">
        <f>'Nov 2023'!H33</f>
        <v>15885.9828</v>
      </c>
      <c r="D33" s="5">
        <f t="shared" ref="D33:U33" si="10">SUM(D29:D32)</f>
        <v>14.849000000000002</v>
      </c>
      <c r="E33" s="5">
        <f t="shared" si="10"/>
        <v>250.85600000000002</v>
      </c>
      <c r="F33" s="5">
        <f t="shared" si="10"/>
        <v>0</v>
      </c>
      <c r="G33" s="5">
        <f t="shared" si="10"/>
        <v>9.73</v>
      </c>
      <c r="H33" s="5">
        <f t="shared" si="10"/>
        <v>15900.8318</v>
      </c>
      <c r="I33" s="5">
        <f>'Nov 2023'!N33</f>
        <v>575.93600000000004</v>
      </c>
      <c r="J33" s="5">
        <f t="shared" si="10"/>
        <v>1.62</v>
      </c>
      <c r="K33" s="5">
        <f t="shared" si="10"/>
        <v>56.572999999999993</v>
      </c>
      <c r="L33" s="5">
        <f t="shared" si="10"/>
        <v>0</v>
      </c>
      <c r="M33" s="5">
        <f t="shared" si="10"/>
        <v>0</v>
      </c>
      <c r="N33" s="5">
        <f t="shared" si="10"/>
        <v>577.55600000000004</v>
      </c>
      <c r="O33" s="5">
        <f>'Nov 2023'!T33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16618.559800000003</v>
      </c>
    </row>
    <row r="34" spans="1:23" ht="38.25" customHeight="1">
      <c r="A34" s="35">
        <v>21</v>
      </c>
      <c r="B34" s="38" t="s">
        <v>40</v>
      </c>
      <c r="C34" s="3">
        <f>'Nov 2023'!H34</f>
        <v>5890.7199999999993</v>
      </c>
      <c r="D34" s="3">
        <f>1.01+159.25</f>
        <v>160.26</v>
      </c>
      <c r="E34" s="3">
        <f>'Nov 2023'!E34+'Dec 2023'!D34</f>
        <v>1466.9499999999998</v>
      </c>
      <c r="F34" s="3">
        <v>0</v>
      </c>
      <c r="G34" s="3">
        <f>'Nov 2023'!G34+'Dec 2023'!F34</f>
        <v>2.72</v>
      </c>
      <c r="H34" s="3">
        <f t="shared" si="0"/>
        <v>6050.98</v>
      </c>
      <c r="I34" s="3">
        <f>'Nov 2023'!N34</f>
        <v>116.16999999999999</v>
      </c>
      <c r="J34" s="3">
        <v>0</v>
      </c>
      <c r="K34" s="3">
        <f>'Nov 2023'!K34+'Dec 2023'!J34</f>
        <v>8.09</v>
      </c>
      <c r="L34" s="3">
        <v>0</v>
      </c>
      <c r="M34" s="3">
        <f>'Nov 2023'!M34+'Dec 2023'!L34</f>
        <v>0</v>
      </c>
      <c r="N34" s="3">
        <f t="shared" si="1"/>
        <v>116.16999999999999</v>
      </c>
      <c r="O34" s="3">
        <f>'Nov 2023'!T34</f>
        <v>72.7</v>
      </c>
      <c r="P34" s="3">
        <v>0</v>
      </c>
      <c r="Q34" s="3">
        <f>'Nov 2023'!Q34+'Dec 2023'!P34</f>
        <v>0</v>
      </c>
      <c r="R34" s="3">
        <v>0</v>
      </c>
      <c r="S34" s="3">
        <f>'Nov 2023'!S34+'Dec 2023'!R34</f>
        <v>0</v>
      </c>
      <c r="T34" s="3">
        <f t="shared" si="2"/>
        <v>72.7</v>
      </c>
      <c r="U34" s="3">
        <f t="shared" si="3"/>
        <v>6239.8499999999995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'Nov 2023'!H35</f>
        <v>6905.9099999999971</v>
      </c>
      <c r="D35" s="3">
        <f>6.58+30+9</f>
        <v>45.58</v>
      </c>
      <c r="E35" s="3">
        <f>'Nov 2023'!E35+'Dec 2023'!D35</f>
        <v>267.87</v>
      </c>
      <c r="F35" s="3">
        <v>0</v>
      </c>
      <c r="G35" s="3">
        <f>'Nov 2023'!G35+'Dec 2023'!F35</f>
        <v>0</v>
      </c>
      <c r="H35" s="3">
        <f t="shared" si="0"/>
        <v>6951.4899999999971</v>
      </c>
      <c r="I35" s="3">
        <f>'Nov 2023'!N35</f>
        <v>34.17</v>
      </c>
      <c r="J35" s="3">
        <v>0</v>
      </c>
      <c r="K35" s="3">
        <f>'Nov 2023'!K35+'Dec 2023'!J35</f>
        <v>0.04</v>
      </c>
      <c r="L35" s="3">
        <v>0</v>
      </c>
      <c r="M35" s="3">
        <f>'Nov 2023'!M35+'Dec 2023'!L35</f>
        <v>0</v>
      </c>
      <c r="N35" s="3">
        <f t="shared" si="1"/>
        <v>34.17</v>
      </c>
      <c r="O35" s="3">
        <f>'Nov 2023'!T35</f>
        <v>90.800000000000011</v>
      </c>
      <c r="P35" s="3">
        <v>0</v>
      </c>
      <c r="Q35" s="3">
        <f>'Nov 2023'!Q35+'Dec 2023'!P35</f>
        <v>0</v>
      </c>
      <c r="R35" s="3">
        <v>0</v>
      </c>
      <c r="S35" s="3">
        <f>'Nov 2023'!S35+'Dec 2023'!R35</f>
        <v>0</v>
      </c>
      <c r="T35" s="3">
        <f t="shared" si="2"/>
        <v>90.800000000000011</v>
      </c>
      <c r="U35" s="3">
        <f t="shared" si="3"/>
        <v>7076.4599999999973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'Nov 2023'!H36</f>
        <v>7789.15</v>
      </c>
      <c r="D36" s="3">
        <f>3.63+489.65</f>
        <v>493.28</v>
      </c>
      <c r="E36" s="3">
        <f>'Nov 2023'!E36+'Dec 2023'!D36</f>
        <v>4584.7700000000004</v>
      </c>
      <c r="F36" s="3">
        <v>0</v>
      </c>
      <c r="G36" s="3">
        <f>'Nov 2023'!G36+'Dec 2023'!F36</f>
        <v>0</v>
      </c>
      <c r="H36" s="3">
        <f t="shared" si="0"/>
        <v>8282.43</v>
      </c>
      <c r="I36" s="3">
        <f>'Nov 2023'!N36</f>
        <v>31.070000000000039</v>
      </c>
      <c r="J36" s="3">
        <v>0</v>
      </c>
      <c r="K36" s="3">
        <f>'Nov 2023'!K36+'Dec 2023'!J36</f>
        <v>0.82000000000000006</v>
      </c>
      <c r="L36" s="3">
        <v>0</v>
      </c>
      <c r="M36" s="3">
        <f>'Nov 2023'!M36+'Dec 2023'!L36</f>
        <v>0</v>
      </c>
      <c r="N36" s="3">
        <f t="shared" si="1"/>
        <v>31.070000000000039</v>
      </c>
      <c r="O36" s="3">
        <f>'Nov 2023'!T36</f>
        <v>36.379999999999995</v>
      </c>
      <c r="P36" s="3">
        <v>0</v>
      </c>
      <c r="Q36" s="3">
        <f>'Nov 2023'!Q36+'Dec 2023'!P36</f>
        <v>0</v>
      </c>
      <c r="R36" s="3">
        <v>0</v>
      </c>
      <c r="S36" s="3">
        <f>'Nov 2023'!S36+'Dec 2023'!R36</f>
        <v>0</v>
      </c>
      <c r="T36" s="3">
        <f t="shared" si="2"/>
        <v>36.379999999999995</v>
      </c>
      <c r="U36" s="3">
        <f t="shared" si="3"/>
        <v>8349.8799999999992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'Nov 2023'!H37</f>
        <v>5199.9999999999991</v>
      </c>
      <c r="D37" s="3">
        <v>48.95</v>
      </c>
      <c r="E37" s="3">
        <f>'Nov 2023'!E37+'Dec 2023'!D37</f>
        <v>154.44</v>
      </c>
      <c r="F37" s="3">
        <v>0</v>
      </c>
      <c r="G37" s="3">
        <f>'Nov 2023'!G37+'Dec 2023'!F37</f>
        <v>0</v>
      </c>
      <c r="H37" s="3">
        <f t="shared" si="0"/>
        <v>5248.9499999999989</v>
      </c>
      <c r="I37" s="3">
        <f>'Nov 2023'!N37</f>
        <v>26.700000000000003</v>
      </c>
      <c r="J37" s="3">
        <v>0</v>
      </c>
      <c r="K37" s="3">
        <f>'Nov 2023'!K37+'Dec 2023'!J37</f>
        <v>0</v>
      </c>
      <c r="L37" s="3">
        <v>0</v>
      </c>
      <c r="M37" s="3">
        <f>'Nov 2023'!M37+'Dec 2023'!L37</f>
        <v>0</v>
      </c>
      <c r="N37" s="3">
        <f t="shared" si="1"/>
        <v>26.700000000000003</v>
      </c>
      <c r="O37" s="3">
        <f>'Nov 2023'!T37</f>
        <v>3.0599999999999996</v>
      </c>
      <c r="P37" s="3">
        <v>0</v>
      </c>
      <c r="Q37" s="3">
        <f>'Nov 2023'!Q37+'Dec 2023'!P37</f>
        <v>0</v>
      </c>
      <c r="R37" s="3">
        <v>0</v>
      </c>
      <c r="S37" s="3">
        <f>'Nov 2023'!S37+'Dec 2023'!R37</f>
        <v>0</v>
      </c>
      <c r="T37" s="3">
        <f t="shared" si="2"/>
        <v>3.0599999999999996</v>
      </c>
      <c r="U37" s="3">
        <f t="shared" si="3"/>
        <v>5278.7099999999991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'Nov 2023'!H38</f>
        <v>25785.78</v>
      </c>
      <c r="D38" s="5">
        <f t="shared" ref="D38:U38" si="11">SUM(D34:D37)</f>
        <v>748.06999999999994</v>
      </c>
      <c r="E38" s="5">
        <f t="shared" si="11"/>
        <v>6474.03</v>
      </c>
      <c r="F38" s="5">
        <f t="shared" si="11"/>
        <v>0</v>
      </c>
      <c r="G38" s="5">
        <f t="shared" si="11"/>
        <v>2.72</v>
      </c>
      <c r="H38" s="5">
        <f t="shared" si="11"/>
        <v>26533.85</v>
      </c>
      <c r="I38" s="5">
        <f>'Nov 2023'!N38</f>
        <v>208.11</v>
      </c>
      <c r="J38" s="5">
        <f t="shared" si="11"/>
        <v>0</v>
      </c>
      <c r="K38" s="5">
        <f t="shared" si="11"/>
        <v>8.9499999999999993</v>
      </c>
      <c r="L38" s="5">
        <f t="shared" si="11"/>
        <v>0</v>
      </c>
      <c r="M38" s="5">
        <f t="shared" si="11"/>
        <v>0</v>
      </c>
      <c r="N38" s="5">
        <f t="shared" si="11"/>
        <v>208.11</v>
      </c>
      <c r="O38" s="5">
        <f>'Nov 2023'!T38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26944.899999999994</v>
      </c>
    </row>
    <row r="39" spans="1:23" s="4" customFormat="1" ht="38.25" customHeight="1">
      <c r="A39" s="34"/>
      <c r="B39" s="37" t="s">
        <v>45</v>
      </c>
      <c r="C39" s="5">
        <f>'Nov 2023'!H39</f>
        <v>49083.717799999999</v>
      </c>
      <c r="D39" s="5">
        <f t="shared" ref="D39:U39" si="12">D38+D33+D28</f>
        <v>772.00900000000001</v>
      </c>
      <c r="E39" s="5">
        <f t="shared" si="12"/>
        <v>6832.2859999999991</v>
      </c>
      <c r="F39" s="5">
        <f t="shared" si="12"/>
        <v>0</v>
      </c>
      <c r="G39" s="5">
        <f t="shared" si="12"/>
        <v>12.47</v>
      </c>
      <c r="H39" s="5">
        <f t="shared" si="12"/>
        <v>49855.726800000004</v>
      </c>
      <c r="I39" s="5">
        <f>'Nov 2023'!N39</f>
        <v>1556.9639999999999</v>
      </c>
      <c r="J39" s="5">
        <f t="shared" si="12"/>
        <v>16.98</v>
      </c>
      <c r="K39" s="5">
        <f t="shared" si="12"/>
        <v>98.092999999999989</v>
      </c>
      <c r="L39" s="5">
        <f t="shared" si="12"/>
        <v>0</v>
      </c>
      <c r="M39" s="5">
        <f t="shared" si="12"/>
        <v>0.02</v>
      </c>
      <c r="N39" s="5">
        <f t="shared" si="12"/>
        <v>1573.944</v>
      </c>
      <c r="O39" s="5">
        <f>'Nov 2023'!T39</f>
        <v>394.23199999999997</v>
      </c>
      <c r="P39" s="5">
        <f t="shared" si="12"/>
        <v>0</v>
      </c>
      <c r="Q39" s="5">
        <f t="shared" si="12"/>
        <v>0.95000000000000007</v>
      </c>
      <c r="R39" s="5">
        <f t="shared" si="12"/>
        <v>0</v>
      </c>
      <c r="S39" s="5">
        <f t="shared" si="12"/>
        <v>0</v>
      </c>
      <c r="T39" s="5">
        <f t="shared" si="12"/>
        <v>394.23199999999997</v>
      </c>
      <c r="U39" s="5">
        <f t="shared" si="12"/>
        <v>51823.902799999996</v>
      </c>
    </row>
    <row r="40" spans="1:23" ht="38.25" customHeight="1">
      <c r="A40" s="35">
        <v>25</v>
      </c>
      <c r="B40" s="38" t="s">
        <v>46</v>
      </c>
      <c r="C40" s="3">
        <f>'Nov 2023'!H40</f>
        <v>13800.033999999996</v>
      </c>
      <c r="D40" s="3">
        <f>12.94+232.46</f>
        <v>245.4</v>
      </c>
      <c r="E40" s="3">
        <f>'Nov 2023'!E40+'Dec 2023'!D40</f>
        <v>2187.8100000000004</v>
      </c>
      <c r="F40" s="3">
        <v>0</v>
      </c>
      <c r="G40" s="3">
        <f>'Nov 2023'!G40+'Dec 2023'!F40</f>
        <v>0</v>
      </c>
      <c r="H40" s="3">
        <f t="shared" si="0"/>
        <v>14045.433999999996</v>
      </c>
      <c r="I40" s="3">
        <f>'Nov 2023'!N40</f>
        <v>198.73</v>
      </c>
      <c r="J40" s="3">
        <v>0</v>
      </c>
      <c r="K40" s="3">
        <f>'Nov 2023'!K40+'Dec 2023'!J40</f>
        <v>0</v>
      </c>
      <c r="L40" s="3">
        <v>0</v>
      </c>
      <c r="M40" s="3">
        <f>'Nov 2023'!M40+'Dec 2023'!L40</f>
        <v>0</v>
      </c>
      <c r="N40" s="3">
        <f t="shared" si="1"/>
        <v>198.73</v>
      </c>
      <c r="O40" s="3">
        <f>'Nov 2023'!T40</f>
        <v>106.93</v>
      </c>
      <c r="P40" s="3">
        <v>0</v>
      </c>
      <c r="Q40" s="3">
        <f>'Nov 2023'!Q40+'Dec 2023'!P40</f>
        <v>0</v>
      </c>
      <c r="R40" s="3">
        <v>0</v>
      </c>
      <c r="S40" s="3">
        <f>'Nov 2023'!S40+'Dec 2023'!R40</f>
        <v>0</v>
      </c>
      <c r="T40" s="3">
        <f t="shared" si="2"/>
        <v>106.93</v>
      </c>
      <c r="U40" s="3">
        <f t="shared" si="3"/>
        <v>14351.093999999996</v>
      </c>
    </row>
    <row r="41" spans="1:23" ht="38.25" customHeight="1">
      <c r="A41" s="35">
        <v>26</v>
      </c>
      <c r="B41" s="38" t="s">
        <v>47</v>
      </c>
      <c r="C41" s="3">
        <f>'Nov 2023'!H41</f>
        <v>8931.8689999999933</v>
      </c>
      <c r="D41" s="3">
        <f>1.41+43.81</f>
        <v>45.22</v>
      </c>
      <c r="E41" s="3">
        <f>'Nov 2023'!E41+'Dec 2023'!D41</f>
        <v>529.69000000000005</v>
      </c>
      <c r="F41" s="3">
        <v>0</v>
      </c>
      <c r="G41" s="3">
        <f>'Nov 2023'!G41+'Dec 2023'!F41</f>
        <v>0</v>
      </c>
      <c r="H41" s="3">
        <f t="shared" si="0"/>
        <v>8977.0889999999927</v>
      </c>
      <c r="I41" s="3">
        <f>'Nov 2023'!N41</f>
        <v>8.67</v>
      </c>
      <c r="J41" s="3">
        <v>0</v>
      </c>
      <c r="K41" s="3">
        <f>'Nov 2023'!K41+'Dec 2023'!J41</f>
        <v>0</v>
      </c>
      <c r="L41" s="3">
        <v>0</v>
      </c>
      <c r="M41" s="3">
        <f>'Nov 2023'!M41+'Dec 2023'!L41</f>
        <v>0</v>
      </c>
      <c r="N41" s="3">
        <f t="shared" si="1"/>
        <v>8.67</v>
      </c>
      <c r="O41" s="3">
        <f>'Nov 2023'!T41</f>
        <v>141.29000000000002</v>
      </c>
      <c r="P41" s="3">
        <v>0</v>
      </c>
      <c r="Q41" s="3">
        <f>'Nov 2023'!Q41+'Dec 2023'!P41</f>
        <v>0</v>
      </c>
      <c r="R41" s="3">
        <v>0</v>
      </c>
      <c r="S41" s="3">
        <f>'Nov 2023'!S41+'Dec 2023'!R41</f>
        <v>0</v>
      </c>
      <c r="T41" s="3">
        <f t="shared" si="2"/>
        <v>141.29000000000002</v>
      </c>
      <c r="U41" s="3">
        <f t="shared" si="3"/>
        <v>9127.0489999999936</v>
      </c>
    </row>
    <row r="42" spans="1:23" s="4" customFormat="1" ht="38.25" customHeight="1">
      <c r="A42" s="35">
        <v>27</v>
      </c>
      <c r="B42" s="38" t="s">
        <v>48</v>
      </c>
      <c r="C42" s="3">
        <f>'Nov 2023'!H42</f>
        <v>16231.681999999995</v>
      </c>
      <c r="D42" s="3">
        <f>9.52+266.11</f>
        <v>275.63</v>
      </c>
      <c r="E42" s="3">
        <f>'Nov 2023'!E42+'Dec 2023'!D42</f>
        <v>2553.6390000000006</v>
      </c>
      <c r="F42" s="3">
        <v>0</v>
      </c>
      <c r="G42" s="3">
        <f>'Nov 2023'!G42+'Dec 2023'!F42</f>
        <v>0</v>
      </c>
      <c r="H42" s="3">
        <f t="shared" si="0"/>
        <v>16507.311999999994</v>
      </c>
      <c r="I42" s="3">
        <f>'Nov 2023'!N42</f>
        <v>15.62</v>
      </c>
      <c r="J42" s="3">
        <v>0</v>
      </c>
      <c r="K42" s="3">
        <f>'Nov 2023'!K42+'Dec 2023'!J42</f>
        <v>0</v>
      </c>
      <c r="L42" s="3">
        <v>0</v>
      </c>
      <c r="M42" s="3">
        <f>'Nov 2023'!M42+'Dec 2023'!L42</f>
        <v>0</v>
      </c>
      <c r="N42" s="3">
        <f t="shared" si="1"/>
        <v>15.62</v>
      </c>
      <c r="O42" s="3">
        <f>'Nov 2023'!T42</f>
        <v>205.35</v>
      </c>
      <c r="P42" s="3">
        <v>0</v>
      </c>
      <c r="Q42" s="3">
        <f>'Nov 2023'!Q42+'Dec 2023'!P42</f>
        <v>0</v>
      </c>
      <c r="R42" s="3">
        <v>0</v>
      </c>
      <c r="S42" s="3">
        <f>'Nov 2023'!S42+'Dec 2023'!R42</f>
        <v>0</v>
      </c>
      <c r="T42" s="3">
        <f t="shared" si="2"/>
        <v>205.35</v>
      </c>
      <c r="U42" s="3">
        <f t="shared" si="3"/>
        <v>16728.281999999992</v>
      </c>
    </row>
    <row r="43" spans="1:23" ht="38.25" customHeight="1">
      <c r="A43" s="35">
        <v>28</v>
      </c>
      <c r="B43" s="38" t="s">
        <v>49</v>
      </c>
      <c r="C43" s="3">
        <f>'Nov 2023'!H43</f>
        <v>4667.8100000000013</v>
      </c>
      <c r="D43" s="3">
        <f>1.52+39.35</f>
        <v>40.870000000000005</v>
      </c>
      <c r="E43" s="3">
        <f>'Nov 2023'!E43+'Dec 2023'!D43</f>
        <v>506.72</v>
      </c>
      <c r="F43" s="3">
        <v>0</v>
      </c>
      <c r="G43" s="3">
        <f>'Nov 2023'!G43+'Dec 2023'!F43</f>
        <v>0</v>
      </c>
      <c r="H43" s="3">
        <f t="shared" si="0"/>
        <v>4708.6800000000012</v>
      </c>
      <c r="I43" s="3">
        <f>'Nov 2023'!N43</f>
        <v>3.5</v>
      </c>
      <c r="J43" s="3">
        <v>0</v>
      </c>
      <c r="K43" s="3">
        <f>'Nov 2023'!K43+'Dec 2023'!J43</f>
        <v>0</v>
      </c>
      <c r="L43" s="3">
        <v>0</v>
      </c>
      <c r="M43" s="3">
        <f>'Nov 2023'!M43+'Dec 2023'!L43</f>
        <v>0</v>
      </c>
      <c r="N43" s="3">
        <f t="shared" si="1"/>
        <v>3.5</v>
      </c>
      <c r="O43" s="3">
        <f>'Nov 2023'!T43</f>
        <v>29.8</v>
      </c>
      <c r="P43" s="3">
        <v>0</v>
      </c>
      <c r="Q43" s="3">
        <f>'Nov 2023'!Q43+'Dec 2023'!P43</f>
        <v>0</v>
      </c>
      <c r="R43" s="3">
        <v>0</v>
      </c>
      <c r="S43" s="3">
        <f>'Nov 2023'!S43+'Dec 2023'!R43</f>
        <v>0</v>
      </c>
      <c r="T43" s="3">
        <f t="shared" si="2"/>
        <v>29.8</v>
      </c>
      <c r="U43" s="3">
        <f t="shared" si="3"/>
        <v>4741.9800000000014</v>
      </c>
    </row>
    <row r="44" spans="1:23" s="4" customFormat="1" ht="38.25" customHeight="1">
      <c r="A44" s="34"/>
      <c r="B44" s="37" t="s">
        <v>50</v>
      </c>
      <c r="C44" s="5">
        <f>'Nov 2023'!H44</f>
        <v>43631.39499999999</v>
      </c>
      <c r="D44" s="5">
        <f t="shared" ref="D44:U44" si="13">SUM(D40:D43)</f>
        <v>607.12</v>
      </c>
      <c r="E44" s="5">
        <f t="shared" si="13"/>
        <v>5777.8590000000013</v>
      </c>
      <c r="F44" s="5">
        <f t="shared" si="13"/>
        <v>0</v>
      </c>
      <c r="G44" s="5">
        <f t="shared" si="13"/>
        <v>0</v>
      </c>
      <c r="H44" s="5">
        <f t="shared" si="13"/>
        <v>44238.514999999978</v>
      </c>
      <c r="I44" s="5">
        <f>'Nov 2023'!N44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'Nov 2023'!T44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44948.404999999984</v>
      </c>
    </row>
    <row r="45" spans="1:23" ht="38.25" customHeight="1">
      <c r="A45" s="35">
        <v>29</v>
      </c>
      <c r="B45" s="38" t="s">
        <v>51</v>
      </c>
      <c r="C45" s="3">
        <f>'Nov 2023'!H45</f>
        <v>8490.342099999998</v>
      </c>
      <c r="D45" s="3">
        <v>8.82</v>
      </c>
      <c r="E45" s="3">
        <f>'Nov 2023'!E45+'Dec 2023'!D45</f>
        <v>135.35</v>
      </c>
      <c r="F45" s="3">
        <v>0</v>
      </c>
      <c r="G45" s="3">
        <f>'Nov 2023'!G45+'Dec 2023'!F45</f>
        <v>0</v>
      </c>
      <c r="H45" s="3">
        <f t="shared" si="0"/>
        <v>8499.1620999999977</v>
      </c>
      <c r="I45" s="3">
        <f>'Nov 2023'!N45</f>
        <v>261.67999999999995</v>
      </c>
      <c r="J45" s="3">
        <v>0.28999999999999998</v>
      </c>
      <c r="K45" s="3">
        <f>'Nov 2023'!K45+'Dec 2023'!J45</f>
        <v>0.91999999999999993</v>
      </c>
      <c r="L45" s="3">
        <v>0</v>
      </c>
      <c r="M45" s="3">
        <f>'Nov 2023'!M45+'Dec 2023'!L45</f>
        <v>0</v>
      </c>
      <c r="N45" s="3">
        <f t="shared" si="1"/>
        <v>261.96999999999997</v>
      </c>
      <c r="O45" s="3">
        <f>'Nov 2023'!T45</f>
        <v>84.53</v>
      </c>
      <c r="P45" s="3">
        <v>0</v>
      </c>
      <c r="Q45" s="3">
        <f>'Nov 2023'!Q45+'Dec 2023'!P45</f>
        <v>0.14000000000000001</v>
      </c>
      <c r="R45" s="3">
        <v>0</v>
      </c>
      <c r="S45" s="3">
        <f>'Nov 2023'!S45+'Dec 2023'!R45</f>
        <v>0</v>
      </c>
      <c r="T45" s="3">
        <f t="shared" si="2"/>
        <v>84.53</v>
      </c>
      <c r="U45" s="3">
        <f t="shared" si="3"/>
        <v>8845.6620999999977</v>
      </c>
    </row>
    <row r="46" spans="1:23" ht="38.25" customHeight="1">
      <c r="A46" s="35">
        <v>30</v>
      </c>
      <c r="B46" s="38" t="s">
        <v>52</v>
      </c>
      <c r="C46" s="3">
        <f>'Nov 2023'!H46</f>
        <v>8139.8950000000013</v>
      </c>
      <c r="D46" s="3">
        <v>7.35</v>
      </c>
      <c r="E46" s="3">
        <f>'Nov 2023'!E46+'Dec 2023'!D46</f>
        <v>200.01</v>
      </c>
      <c r="F46" s="3">
        <v>0</v>
      </c>
      <c r="G46" s="3">
        <f>'Nov 2023'!G46+'Dec 2023'!F46</f>
        <v>0</v>
      </c>
      <c r="H46" s="3">
        <f t="shared" si="0"/>
        <v>8147.2450000000017</v>
      </c>
      <c r="I46" s="3">
        <f>'Nov 2023'!N46</f>
        <v>0</v>
      </c>
      <c r="J46" s="3">
        <v>0</v>
      </c>
      <c r="K46" s="3">
        <f>'Nov 2023'!K46+'Dec 2023'!J46</f>
        <v>0</v>
      </c>
      <c r="L46" s="3">
        <v>0</v>
      </c>
      <c r="M46" s="3">
        <f>'Nov 2023'!M46+'Dec 2023'!L46</f>
        <v>0</v>
      </c>
      <c r="N46" s="3">
        <f t="shared" si="1"/>
        <v>0</v>
      </c>
      <c r="O46" s="3">
        <f>'Nov 2023'!T46</f>
        <v>52.53</v>
      </c>
      <c r="P46" s="3">
        <v>0</v>
      </c>
      <c r="Q46" s="3">
        <f>'Nov 2023'!Q46+'Dec 2023'!P46</f>
        <v>5.5</v>
      </c>
      <c r="R46" s="3">
        <v>0</v>
      </c>
      <c r="S46" s="3">
        <f>'Nov 2023'!S46+'Dec 2023'!R46</f>
        <v>0</v>
      </c>
      <c r="T46" s="3">
        <f t="shared" si="2"/>
        <v>52.53</v>
      </c>
      <c r="U46" s="3">
        <f t="shared" si="3"/>
        <v>8199.7750000000015</v>
      </c>
    </row>
    <row r="47" spans="1:23" s="4" customFormat="1" ht="38.25" customHeight="1">
      <c r="A47" s="35">
        <v>31</v>
      </c>
      <c r="B47" s="38" t="s">
        <v>53</v>
      </c>
      <c r="C47" s="3">
        <f>'Nov 2023'!H47</f>
        <v>9381.5999999999949</v>
      </c>
      <c r="D47" s="3">
        <v>29.26</v>
      </c>
      <c r="E47" s="3">
        <f>'Nov 2023'!E47+'Dec 2023'!D47</f>
        <v>333.15999999999991</v>
      </c>
      <c r="F47" s="3">
        <v>0</v>
      </c>
      <c r="G47" s="3">
        <f>'Nov 2023'!G47+'Dec 2023'!F47</f>
        <v>0</v>
      </c>
      <c r="H47" s="3">
        <f t="shared" si="0"/>
        <v>9410.8599999999951</v>
      </c>
      <c r="I47" s="3">
        <f>'Nov 2023'!N47</f>
        <v>3.13</v>
      </c>
      <c r="J47" s="3">
        <v>0</v>
      </c>
      <c r="K47" s="3">
        <f>'Nov 2023'!K47+'Dec 2023'!J47</f>
        <v>0</v>
      </c>
      <c r="L47" s="3">
        <v>0</v>
      </c>
      <c r="M47" s="3">
        <f>'Nov 2023'!M47+'Dec 2023'!L47</f>
        <v>0</v>
      </c>
      <c r="N47" s="3">
        <f t="shared" si="1"/>
        <v>3.13</v>
      </c>
      <c r="O47" s="3">
        <f>'Nov 2023'!T47</f>
        <v>118.94999999999999</v>
      </c>
      <c r="P47" s="3">
        <v>0</v>
      </c>
      <c r="Q47" s="3">
        <f>'Nov 2023'!Q47+'Dec 2023'!P47</f>
        <v>0</v>
      </c>
      <c r="R47" s="3">
        <v>0</v>
      </c>
      <c r="S47" s="3">
        <f>'Nov 2023'!S47+'Dec 2023'!R47</f>
        <v>0</v>
      </c>
      <c r="T47" s="3">
        <f t="shared" si="2"/>
        <v>118.94999999999999</v>
      </c>
      <c r="U47" s="3">
        <f t="shared" si="3"/>
        <v>9532.9399999999951</v>
      </c>
    </row>
    <row r="48" spans="1:23" s="4" customFormat="1" ht="38.25" customHeight="1">
      <c r="A48" s="35">
        <v>32</v>
      </c>
      <c r="B48" s="38" t="s">
        <v>54</v>
      </c>
      <c r="C48" s="3">
        <f>'Nov 2023'!H48</f>
        <v>8659.0189999999984</v>
      </c>
      <c r="D48" s="3">
        <v>1.63</v>
      </c>
      <c r="E48" s="3">
        <f>'Nov 2023'!E48+'Dec 2023'!D48</f>
        <v>54.7</v>
      </c>
      <c r="F48" s="3">
        <v>0</v>
      </c>
      <c r="G48" s="3">
        <f>'Nov 2023'!G48+'Dec 2023'!F48</f>
        <v>0</v>
      </c>
      <c r="H48" s="3">
        <f t="shared" si="0"/>
        <v>8660.6489999999976</v>
      </c>
      <c r="I48" s="3">
        <f>'Nov 2023'!N48</f>
        <v>5.0249999999999995</v>
      </c>
      <c r="J48" s="3">
        <v>0</v>
      </c>
      <c r="K48" s="3">
        <f>'Nov 2023'!K48+'Dec 2023'!J48</f>
        <v>0</v>
      </c>
      <c r="L48" s="3">
        <v>0</v>
      </c>
      <c r="M48" s="3">
        <f>'Nov 2023'!M48+'Dec 2023'!L48</f>
        <v>0</v>
      </c>
      <c r="N48" s="3">
        <f t="shared" si="1"/>
        <v>5.0249999999999995</v>
      </c>
      <c r="O48" s="3">
        <f>'Nov 2023'!T48</f>
        <v>4.21</v>
      </c>
      <c r="P48" s="3">
        <v>0</v>
      </c>
      <c r="Q48" s="3">
        <f>'Nov 2023'!Q48+'Dec 2023'!P48</f>
        <v>0</v>
      </c>
      <c r="R48" s="3">
        <v>0</v>
      </c>
      <c r="S48" s="3">
        <f>'Nov 2023'!S48+'Dec 2023'!R48</f>
        <v>0</v>
      </c>
      <c r="T48" s="3">
        <f t="shared" si="2"/>
        <v>4.21</v>
      </c>
      <c r="U48" s="3">
        <f t="shared" si="3"/>
        <v>8669.8839999999964</v>
      </c>
    </row>
    <row r="49" spans="1:24" s="4" customFormat="1" ht="38.25" customHeight="1">
      <c r="A49" s="34"/>
      <c r="B49" s="37" t="s">
        <v>55</v>
      </c>
      <c r="C49" s="5">
        <f>'Nov 2023'!H49</f>
        <v>34670.85609999999</v>
      </c>
      <c r="D49" s="5">
        <f t="shared" ref="D49:U49" si="14">SUM(D45:D48)</f>
        <v>47.060000000000009</v>
      </c>
      <c r="E49" s="5">
        <f t="shared" si="14"/>
        <v>723.22</v>
      </c>
      <c r="F49" s="5">
        <f t="shared" si="14"/>
        <v>0</v>
      </c>
      <c r="G49" s="5">
        <f t="shared" si="14"/>
        <v>0</v>
      </c>
      <c r="H49" s="5">
        <f t="shared" si="14"/>
        <v>34717.916099999995</v>
      </c>
      <c r="I49" s="5">
        <f>'Nov 2023'!N49</f>
        <v>269.83499999999992</v>
      </c>
      <c r="J49" s="5">
        <f t="shared" si="14"/>
        <v>0.28999999999999998</v>
      </c>
      <c r="K49" s="5">
        <f t="shared" si="14"/>
        <v>0.91999999999999993</v>
      </c>
      <c r="L49" s="5">
        <f t="shared" si="14"/>
        <v>0</v>
      </c>
      <c r="M49" s="5">
        <f t="shared" si="14"/>
        <v>0</v>
      </c>
      <c r="N49" s="5">
        <f t="shared" si="14"/>
        <v>270.12499999999994</v>
      </c>
      <c r="O49" s="5">
        <f>'Nov 2023'!T49</f>
        <v>260.21999999999997</v>
      </c>
      <c r="P49" s="5">
        <f t="shared" si="14"/>
        <v>0</v>
      </c>
      <c r="Q49" s="5">
        <f t="shared" si="14"/>
        <v>5.64</v>
      </c>
      <c r="R49" s="5">
        <f t="shared" si="14"/>
        <v>0</v>
      </c>
      <c r="S49" s="5">
        <f t="shared" si="14"/>
        <v>0</v>
      </c>
      <c r="T49" s="5">
        <f t="shared" si="14"/>
        <v>260.21999999999997</v>
      </c>
      <c r="U49" s="5">
        <f t="shared" si="14"/>
        <v>35248.261099999989</v>
      </c>
    </row>
    <row r="50" spans="1:24" s="4" customFormat="1" ht="38.25" customHeight="1">
      <c r="A50" s="34"/>
      <c r="B50" s="37" t="s">
        <v>56</v>
      </c>
      <c r="C50" s="5">
        <f>'Nov 2023'!H50</f>
        <v>78302.251099999979</v>
      </c>
      <c r="D50" s="5">
        <f t="shared" ref="D50:U50" si="15">D49+D44</f>
        <v>654.18000000000006</v>
      </c>
      <c r="E50" s="5">
        <f t="shared" si="15"/>
        <v>6501.0790000000015</v>
      </c>
      <c r="F50" s="5">
        <f t="shared" si="15"/>
        <v>0</v>
      </c>
      <c r="G50" s="5">
        <f t="shared" si="15"/>
        <v>0</v>
      </c>
      <c r="H50" s="5">
        <f t="shared" si="15"/>
        <v>78956.431099999973</v>
      </c>
      <c r="I50" s="5">
        <f>'Nov 2023'!N50</f>
        <v>496.3549999999999</v>
      </c>
      <c r="J50" s="5">
        <f t="shared" si="15"/>
        <v>0.28999999999999998</v>
      </c>
      <c r="K50" s="5">
        <f t="shared" si="15"/>
        <v>0.91999999999999993</v>
      </c>
      <c r="L50" s="5">
        <f t="shared" si="15"/>
        <v>0</v>
      </c>
      <c r="M50" s="5">
        <f t="shared" si="15"/>
        <v>0</v>
      </c>
      <c r="N50" s="5">
        <f t="shared" si="15"/>
        <v>496.64499999999992</v>
      </c>
      <c r="O50" s="5">
        <f>'Nov 2023'!T50</f>
        <v>743.59</v>
      </c>
      <c r="P50" s="5">
        <f t="shared" si="15"/>
        <v>0</v>
      </c>
      <c r="Q50" s="5">
        <f t="shared" si="15"/>
        <v>5.64</v>
      </c>
      <c r="R50" s="5">
        <f t="shared" si="15"/>
        <v>0</v>
      </c>
      <c r="S50" s="5">
        <f t="shared" si="15"/>
        <v>0</v>
      </c>
      <c r="T50" s="5">
        <f t="shared" si="15"/>
        <v>743.59</v>
      </c>
      <c r="U50" s="5">
        <f t="shared" si="15"/>
        <v>80196.666099999973</v>
      </c>
    </row>
    <row r="51" spans="1:24" s="4" customFormat="1" ht="38.25" customHeight="1">
      <c r="A51" s="34"/>
      <c r="B51" s="37" t="s">
        <v>57</v>
      </c>
      <c r="C51" s="5">
        <f>'Nov 2023'!H51</f>
        <v>131341.77489999999</v>
      </c>
      <c r="D51" s="5">
        <f t="shared" ref="D51:U51" si="16">D50+D39+D25</f>
        <v>1428.8690000000001</v>
      </c>
      <c r="E51" s="5">
        <f t="shared" si="16"/>
        <v>13386.155000000002</v>
      </c>
      <c r="F51" s="5">
        <f t="shared" si="16"/>
        <v>7.5299999999999994</v>
      </c>
      <c r="G51" s="5">
        <f t="shared" si="16"/>
        <v>59.16</v>
      </c>
      <c r="H51" s="26">
        <f t="shared" si="16"/>
        <v>132763.11389999997</v>
      </c>
      <c r="I51" s="5">
        <f>'Nov 2023'!N51</f>
        <v>11305.637000000001</v>
      </c>
      <c r="J51" s="5">
        <f t="shared" si="16"/>
        <v>48.86</v>
      </c>
      <c r="K51" s="5">
        <f t="shared" si="16"/>
        <v>447.13100000000003</v>
      </c>
      <c r="L51" s="5">
        <f t="shared" si="16"/>
        <v>5.4</v>
      </c>
      <c r="M51" s="5">
        <f t="shared" si="16"/>
        <v>6.92</v>
      </c>
      <c r="N51" s="26">
        <f t="shared" si="16"/>
        <v>11349.097000000002</v>
      </c>
      <c r="O51" s="5">
        <f>'Nov 2023'!T51</f>
        <v>1603.2000000000003</v>
      </c>
      <c r="P51" s="5">
        <f t="shared" si="16"/>
        <v>0</v>
      </c>
      <c r="Q51" s="5">
        <f t="shared" si="16"/>
        <v>8</v>
      </c>
      <c r="R51" s="5">
        <f t="shared" si="16"/>
        <v>54.2</v>
      </c>
      <c r="S51" s="5">
        <f t="shared" si="16"/>
        <v>136.24</v>
      </c>
      <c r="T51" s="26">
        <f t="shared" si="16"/>
        <v>1549.0000000000002</v>
      </c>
      <c r="U51" s="5">
        <f t="shared" si="16"/>
        <v>145661.21089999995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1410.5989999999999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13638.966000000002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145661.21089999998</v>
      </c>
      <c r="K56" s="13"/>
      <c r="L56" s="13"/>
      <c r="M56" s="16"/>
      <c r="N56" s="13"/>
      <c r="P56" s="9"/>
      <c r="Q56" s="17"/>
      <c r="U56" s="17"/>
    </row>
    <row r="57" spans="1:24">
      <c r="H57" s="23"/>
      <c r="I57" s="24"/>
      <c r="J57" s="23"/>
    </row>
    <row r="58" spans="1:24">
      <c r="H58" s="23"/>
      <c r="I58" s="24"/>
      <c r="J58" s="23"/>
    </row>
    <row r="59" spans="1:24">
      <c r="P59" s="1"/>
      <c r="Q59" s="1"/>
      <c r="R59" s="1"/>
      <c r="S59" s="2"/>
      <c r="T59" s="1"/>
      <c r="U59" s="1"/>
    </row>
    <row r="60" spans="1:24">
      <c r="P60" s="1"/>
      <c r="Q60" s="1"/>
      <c r="R60" s="1"/>
      <c r="S60" s="2"/>
      <c r="T60" s="1"/>
      <c r="U60" s="1"/>
    </row>
  </sheetData>
  <mergeCells count="26"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opLeftCell="D37" zoomScale="39" zoomScaleNormal="39" zoomScaleSheetLayoutView="31" workbookViewId="0">
      <selection activeCell="T51" sqref="T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48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36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71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44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43" t="s">
        <v>11</v>
      </c>
      <c r="E6" s="43" t="s">
        <v>12</v>
      </c>
      <c r="F6" s="43" t="s">
        <v>11</v>
      </c>
      <c r="G6" s="43" t="s">
        <v>12</v>
      </c>
      <c r="H6" s="82"/>
      <c r="I6" s="85"/>
      <c r="J6" s="43" t="s">
        <v>11</v>
      </c>
      <c r="K6" s="43" t="s">
        <v>12</v>
      </c>
      <c r="L6" s="43" t="s">
        <v>11</v>
      </c>
      <c r="M6" s="43" t="s">
        <v>12</v>
      </c>
      <c r="N6" s="82"/>
      <c r="O6" s="85"/>
      <c r="P6" s="43" t="s">
        <v>11</v>
      </c>
      <c r="Q6" s="43" t="s">
        <v>12</v>
      </c>
      <c r="R6" s="43" t="s">
        <v>11</v>
      </c>
      <c r="S6" s="43" t="s">
        <v>12</v>
      </c>
      <c r="T6" s="82"/>
      <c r="U6" s="82"/>
    </row>
    <row r="7" spans="1:22" ht="38.25" customHeight="1">
      <c r="A7" s="44">
        <v>1</v>
      </c>
      <c r="B7" s="46" t="s">
        <v>13</v>
      </c>
      <c r="C7" s="3">
        <f>'Dec 2023'!H7</f>
        <v>7.179999999999982</v>
      </c>
      <c r="D7" s="3">
        <v>0</v>
      </c>
      <c r="E7" s="3">
        <f>'Dec 2023'!E7+'Jan 2024'!D7</f>
        <v>0</v>
      </c>
      <c r="F7" s="3">
        <v>0</v>
      </c>
      <c r="G7" s="3">
        <f>'Dec 2023'!G7+'Jan 2024'!F7</f>
        <v>0</v>
      </c>
      <c r="H7" s="3">
        <f>C7+D7-F7</f>
        <v>7.179999999999982</v>
      </c>
      <c r="I7" s="3">
        <f>'Dec 2023'!N7</f>
        <v>729.56199999999978</v>
      </c>
      <c r="J7" s="3">
        <v>2.2200000000000002</v>
      </c>
      <c r="K7" s="3">
        <f>'Dec 2023'!K7+'Jan 2024'!J7</f>
        <v>17.325000000000003</v>
      </c>
      <c r="L7" s="3">
        <v>0</v>
      </c>
      <c r="M7" s="3">
        <f>'Dec 2023'!M7+'Jan 2024'!L7</f>
        <v>0</v>
      </c>
      <c r="N7" s="3">
        <f>I7+J7-L7</f>
        <v>731.78199999999981</v>
      </c>
      <c r="O7" s="3">
        <f>'Dec 2023'!T7</f>
        <v>8.436000000000007</v>
      </c>
      <c r="P7" s="3">
        <v>0</v>
      </c>
      <c r="Q7" s="3">
        <f>'Dec 2023'!Q7+'Jan 2024'!P7</f>
        <v>0</v>
      </c>
      <c r="R7" s="3">
        <v>0</v>
      </c>
      <c r="S7" s="3">
        <f>'Dec 2023'!S7+'Jan 2024'!R7</f>
        <v>0</v>
      </c>
      <c r="T7" s="3">
        <f>O7+P7-R7</f>
        <v>8.436000000000007</v>
      </c>
      <c r="U7" s="3">
        <f>H7+N7+T7</f>
        <v>747.3979999999998</v>
      </c>
    </row>
    <row r="8" spans="1:22" ht="38.25" customHeight="1">
      <c r="A8" s="44">
        <v>2</v>
      </c>
      <c r="B8" s="46" t="s">
        <v>14</v>
      </c>
      <c r="C8" s="3">
        <f>'Dec 2023'!H8</f>
        <v>265.98999999999995</v>
      </c>
      <c r="D8" s="3">
        <v>0</v>
      </c>
      <c r="E8" s="3">
        <f>'Dec 2023'!E8+'Jan 2024'!D8</f>
        <v>0</v>
      </c>
      <c r="F8" s="3">
        <v>0</v>
      </c>
      <c r="G8" s="3">
        <f>'Dec 2023'!G8+'Jan 2024'!F8</f>
        <v>0</v>
      </c>
      <c r="H8" s="3">
        <f t="shared" ref="H8:H48" si="0">C8+D8-F8</f>
        <v>265.98999999999995</v>
      </c>
      <c r="I8" s="3">
        <f>'Dec 2023'!N8</f>
        <v>489.92100000000016</v>
      </c>
      <c r="J8" s="3">
        <v>5.82</v>
      </c>
      <c r="K8" s="3">
        <f>'Dec 2023'!K8+'Jan 2024'!J8</f>
        <v>97.594999999999999</v>
      </c>
      <c r="L8" s="3">
        <v>0</v>
      </c>
      <c r="M8" s="3">
        <f>'Dec 2023'!M8+'Jan 2024'!L8</f>
        <v>0</v>
      </c>
      <c r="N8" s="3">
        <f t="shared" ref="N8:N48" si="1">I8+J8-L8</f>
        <v>495.74100000000016</v>
      </c>
      <c r="O8" s="3">
        <f>'Dec 2023'!T8</f>
        <v>66.290000000000006</v>
      </c>
      <c r="P8" s="3">
        <v>0</v>
      </c>
      <c r="Q8" s="3">
        <f>'Dec 2023'!Q8+'Jan 2024'!P8</f>
        <v>0</v>
      </c>
      <c r="R8" s="3">
        <v>0</v>
      </c>
      <c r="S8" s="3">
        <f>'Dec 2023'!S8+'Jan 2024'!R8</f>
        <v>0</v>
      </c>
      <c r="T8" s="3">
        <f t="shared" ref="T8:T48" si="2">O8+P8-R8</f>
        <v>66.290000000000006</v>
      </c>
      <c r="U8" s="3">
        <f>H8+N8+T8</f>
        <v>828.02100000000007</v>
      </c>
    </row>
    <row r="9" spans="1:22" ht="38.25" customHeight="1">
      <c r="A9" s="44">
        <v>3</v>
      </c>
      <c r="B9" s="46" t="s">
        <v>15</v>
      </c>
      <c r="C9" s="3">
        <f>'Dec 2023'!H9</f>
        <v>209.16</v>
      </c>
      <c r="D9" s="3">
        <v>0</v>
      </c>
      <c r="E9" s="3">
        <f>'Dec 2023'!E9+'Jan 2024'!D9</f>
        <v>0</v>
      </c>
      <c r="F9" s="3">
        <v>0</v>
      </c>
      <c r="G9" s="3">
        <f>'Dec 2023'!G9+'Jan 2024'!F9</f>
        <v>0</v>
      </c>
      <c r="H9" s="3">
        <f t="shared" si="0"/>
        <v>209.16</v>
      </c>
      <c r="I9" s="3">
        <f>'Dec 2023'!N9</f>
        <v>954.67799999999988</v>
      </c>
      <c r="J9" s="3">
        <v>5.72</v>
      </c>
      <c r="K9" s="3">
        <f>'Dec 2023'!K9+'Jan 2024'!J9</f>
        <v>57.439999999999991</v>
      </c>
      <c r="L9" s="3">
        <v>0</v>
      </c>
      <c r="M9" s="3">
        <f>'Dec 2023'!M9+'Jan 2024'!L9</f>
        <v>0.28999999999999998</v>
      </c>
      <c r="N9" s="3">
        <f t="shared" si="1"/>
        <v>960.39799999999991</v>
      </c>
      <c r="O9" s="3">
        <f>'Dec 2023'!T9</f>
        <v>44.739999999999995</v>
      </c>
      <c r="P9" s="3">
        <v>0</v>
      </c>
      <c r="Q9" s="3">
        <f>'Dec 2023'!Q9+'Jan 2024'!P9</f>
        <v>0</v>
      </c>
      <c r="R9" s="3">
        <v>0</v>
      </c>
      <c r="S9" s="3">
        <f>'Dec 2023'!S9+'Jan 2024'!R9</f>
        <v>0</v>
      </c>
      <c r="T9" s="3">
        <f t="shared" si="2"/>
        <v>44.739999999999995</v>
      </c>
      <c r="U9" s="3">
        <f>H9+N9+T9</f>
        <v>1214.298</v>
      </c>
    </row>
    <row r="10" spans="1:22" s="4" customFormat="1" ht="38.25" customHeight="1">
      <c r="A10" s="44">
        <v>4</v>
      </c>
      <c r="B10" s="46" t="s">
        <v>16</v>
      </c>
      <c r="C10" s="3">
        <f>'Dec 2023'!H10</f>
        <v>0</v>
      </c>
      <c r="D10" s="3">
        <v>0</v>
      </c>
      <c r="E10" s="3">
        <f>'Dec 2023'!E10+'Jan 2024'!D10</f>
        <v>0</v>
      </c>
      <c r="F10" s="3">
        <v>0</v>
      </c>
      <c r="G10" s="3">
        <f>'Dec 2023'!G10+'Jan 2024'!F10</f>
        <v>0</v>
      </c>
      <c r="H10" s="3">
        <f t="shared" si="0"/>
        <v>0</v>
      </c>
      <c r="I10" s="3">
        <f>'Dec 2023'!N10</f>
        <v>373.70599999999985</v>
      </c>
      <c r="J10" s="3">
        <v>1.27</v>
      </c>
      <c r="K10" s="3">
        <f>'Dec 2023'!K10+'Jan 2024'!J10</f>
        <v>10.003</v>
      </c>
      <c r="L10" s="3">
        <v>0</v>
      </c>
      <c r="M10" s="3">
        <f>'Dec 2023'!M10+'Jan 2024'!L10</f>
        <v>0</v>
      </c>
      <c r="N10" s="3">
        <f t="shared" si="1"/>
        <v>374.97599999999983</v>
      </c>
      <c r="O10" s="3">
        <f>'Dec 2023'!T10</f>
        <v>0.20000000000000007</v>
      </c>
      <c r="P10" s="3">
        <v>0</v>
      </c>
      <c r="Q10" s="3">
        <f>'Dec 2023'!Q10+'Jan 2024'!P10</f>
        <v>0</v>
      </c>
      <c r="R10" s="3">
        <v>0</v>
      </c>
      <c r="S10" s="3">
        <f>'Dec 2023'!S10+'Jan 2024'!R10</f>
        <v>0</v>
      </c>
      <c r="T10" s="3">
        <f t="shared" si="2"/>
        <v>0.20000000000000007</v>
      </c>
      <c r="U10" s="3">
        <f>H10+N10+T10</f>
        <v>375.17599999999982</v>
      </c>
    </row>
    <row r="11" spans="1:22" s="4" customFormat="1" ht="38.25" customHeight="1">
      <c r="A11" s="43"/>
      <c r="B11" s="45" t="s">
        <v>17</v>
      </c>
      <c r="C11" s="5">
        <f>'Dec 2023'!H11</f>
        <v>482.32999999999993</v>
      </c>
      <c r="D11" s="5">
        <f t="shared" ref="D11:U11" si="3">SUM(D7:D10)</f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482.32999999999993</v>
      </c>
      <c r="I11" s="5">
        <f>'Dec 2023'!N11</f>
        <v>2547.8669999999997</v>
      </c>
      <c r="J11" s="5">
        <f t="shared" si="3"/>
        <v>15.030000000000001</v>
      </c>
      <c r="K11" s="5">
        <f t="shared" si="3"/>
        <v>182.363</v>
      </c>
      <c r="L11" s="5">
        <f t="shared" si="3"/>
        <v>0</v>
      </c>
      <c r="M11" s="5">
        <f t="shared" si="3"/>
        <v>0.28999999999999998</v>
      </c>
      <c r="N11" s="5">
        <f t="shared" si="3"/>
        <v>2562.8969999999995</v>
      </c>
      <c r="O11" s="5">
        <f>'Dec 2023'!T11</f>
        <v>119.66600000000001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119.66600000000001</v>
      </c>
      <c r="U11" s="5">
        <f t="shared" si="3"/>
        <v>3164.8929999999996</v>
      </c>
      <c r="V11" s="47"/>
    </row>
    <row r="12" spans="1:22" ht="38.25" customHeight="1">
      <c r="A12" s="44">
        <v>5</v>
      </c>
      <c r="B12" s="46" t="s">
        <v>18</v>
      </c>
      <c r="C12" s="3">
        <f>'Dec 2023'!H12</f>
        <v>22.179999999999609</v>
      </c>
      <c r="D12" s="3">
        <v>0</v>
      </c>
      <c r="E12" s="3">
        <f>'Dec 2023'!E12+'Jan 2024'!D12</f>
        <v>0</v>
      </c>
      <c r="F12" s="3">
        <v>0</v>
      </c>
      <c r="G12" s="3">
        <f>'Dec 2023'!G12+'Jan 2024'!F12</f>
        <v>0</v>
      </c>
      <c r="H12" s="3">
        <f t="shared" si="0"/>
        <v>22.179999999999609</v>
      </c>
      <c r="I12" s="3">
        <f>'Dec 2023'!N12</f>
        <v>1299.4349999999997</v>
      </c>
      <c r="J12" s="25">
        <v>1.1299999999999999</v>
      </c>
      <c r="K12" s="3">
        <f>'Dec 2023'!K12+'Jan 2024'!J12</f>
        <v>24.13</v>
      </c>
      <c r="L12" s="3">
        <v>0</v>
      </c>
      <c r="M12" s="3">
        <f>'Dec 2023'!M12+'Jan 2024'!L12</f>
        <v>0</v>
      </c>
      <c r="N12" s="3">
        <f t="shared" si="1"/>
        <v>1300.5649999999998</v>
      </c>
      <c r="O12" s="3">
        <f>'Dec 2023'!T12</f>
        <v>1.9700000000000095</v>
      </c>
      <c r="P12" s="3">
        <v>0</v>
      </c>
      <c r="Q12" s="3">
        <f>'Dec 2023'!Q12+'Jan 2024'!P12</f>
        <v>0</v>
      </c>
      <c r="R12" s="3">
        <v>0</v>
      </c>
      <c r="S12" s="3">
        <f>'Dec 2023'!S12+'Jan 2024'!R12</f>
        <v>0</v>
      </c>
      <c r="T12" s="3">
        <f t="shared" si="2"/>
        <v>1.9700000000000095</v>
      </c>
      <c r="U12" s="3">
        <f>H12+N12+T12</f>
        <v>1324.7149999999995</v>
      </c>
    </row>
    <row r="13" spans="1:22" ht="38.25" customHeight="1">
      <c r="A13" s="44">
        <v>6</v>
      </c>
      <c r="B13" s="46" t="s">
        <v>19</v>
      </c>
      <c r="C13" s="3">
        <f>'Dec 2023'!H13</f>
        <v>312.23000000000013</v>
      </c>
      <c r="D13" s="3">
        <v>0</v>
      </c>
      <c r="E13" s="3">
        <f>'Dec 2023'!E13+'Jan 2024'!D13</f>
        <v>0</v>
      </c>
      <c r="F13" s="3">
        <v>0</v>
      </c>
      <c r="G13" s="3">
        <f>'Dec 2023'!G13+'Jan 2024'!F13</f>
        <v>0</v>
      </c>
      <c r="H13" s="3">
        <f t="shared" si="0"/>
        <v>312.23000000000013</v>
      </c>
      <c r="I13" s="3">
        <f>'Dec 2023'!N13</f>
        <v>560.54200000000014</v>
      </c>
      <c r="J13" s="25">
        <v>2.02</v>
      </c>
      <c r="K13" s="3">
        <f>'Dec 2023'!K13+'Jan 2024'!J13</f>
        <v>17.03</v>
      </c>
      <c r="L13" s="3">
        <v>0</v>
      </c>
      <c r="M13" s="3">
        <f>'Dec 2023'!M13+'Jan 2024'!L13</f>
        <v>0</v>
      </c>
      <c r="N13" s="3">
        <f t="shared" si="1"/>
        <v>562.56200000000013</v>
      </c>
      <c r="O13" s="3">
        <f>'Dec 2023'!T13</f>
        <v>68.39</v>
      </c>
      <c r="P13" s="3">
        <v>0</v>
      </c>
      <c r="Q13" s="3">
        <f>'Dec 2023'!Q13+'Jan 2024'!P13</f>
        <v>0</v>
      </c>
      <c r="R13" s="3">
        <v>0</v>
      </c>
      <c r="S13" s="3">
        <f>'Dec 2023'!S13+'Jan 2024'!R13</f>
        <v>0</v>
      </c>
      <c r="T13" s="3">
        <f t="shared" si="2"/>
        <v>68.39</v>
      </c>
      <c r="U13" s="3">
        <f>H13+N13+T13</f>
        <v>943.18200000000024</v>
      </c>
    </row>
    <row r="14" spans="1:22" s="4" customFormat="1" ht="38.25" customHeight="1">
      <c r="A14" s="44">
        <v>7</v>
      </c>
      <c r="B14" s="46" t="s">
        <v>20</v>
      </c>
      <c r="C14" s="3">
        <f>'Dec 2023'!H14</f>
        <v>1211.4399999999994</v>
      </c>
      <c r="D14" s="3">
        <v>0</v>
      </c>
      <c r="E14" s="3">
        <f>'Dec 2023'!E14+'Jan 2024'!D14</f>
        <v>0</v>
      </c>
      <c r="F14" s="3">
        <v>0</v>
      </c>
      <c r="G14" s="3">
        <f>'Dec 2023'!G14+'Jan 2024'!F14</f>
        <v>5</v>
      </c>
      <c r="H14" s="3">
        <f t="shared" si="0"/>
        <v>1211.4399999999994</v>
      </c>
      <c r="I14" s="3">
        <f>'Dec 2023'!N14</f>
        <v>944.22800000000041</v>
      </c>
      <c r="J14" s="25">
        <v>2.13</v>
      </c>
      <c r="K14" s="3">
        <f>'Dec 2023'!K14+'Jan 2024'!J14</f>
        <v>42.86</v>
      </c>
      <c r="L14" s="3">
        <v>0</v>
      </c>
      <c r="M14" s="3">
        <f>'Dec 2023'!M14+'Jan 2024'!L14</f>
        <v>0</v>
      </c>
      <c r="N14" s="3">
        <f t="shared" si="1"/>
        <v>946.3580000000004</v>
      </c>
      <c r="O14" s="3">
        <f>'Dec 2023'!T14</f>
        <v>61.329999999999991</v>
      </c>
      <c r="P14" s="3">
        <v>0</v>
      </c>
      <c r="Q14" s="3">
        <f>'Dec 2023'!Q14+'Jan 2024'!P14</f>
        <v>0</v>
      </c>
      <c r="R14" s="3">
        <v>0</v>
      </c>
      <c r="S14" s="3">
        <f>'Dec 2023'!S14+'Jan 2024'!R14</f>
        <v>0</v>
      </c>
      <c r="T14" s="3">
        <f t="shared" si="2"/>
        <v>61.329999999999991</v>
      </c>
      <c r="U14" s="3">
        <f>H14+N14+T14</f>
        <v>2219.1279999999997</v>
      </c>
    </row>
    <row r="15" spans="1:22" s="4" customFormat="1" ht="38.25" customHeight="1">
      <c r="A15" s="43"/>
      <c r="B15" s="45" t="s">
        <v>21</v>
      </c>
      <c r="C15" s="5">
        <f>'Dec 2023'!H15</f>
        <v>1545.849999999999</v>
      </c>
      <c r="D15" s="5">
        <f t="shared" ref="D15:U15" si="4">SUM(D12:D14)</f>
        <v>0</v>
      </c>
      <c r="E15" s="5">
        <f t="shared" si="4"/>
        <v>0</v>
      </c>
      <c r="F15" s="5">
        <f t="shared" si="4"/>
        <v>0</v>
      </c>
      <c r="G15" s="5">
        <f t="shared" si="4"/>
        <v>5</v>
      </c>
      <c r="H15" s="5">
        <f t="shared" si="4"/>
        <v>1545.849999999999</v>
      </c>
      <c r="I15" s="5">
        <f>'Dec 2023'!N15</f>
        <v>2804.2050000000004</v>
      </c>
      <c r="J15" s="5">
        <f t="shared" si="4"/>
        <v>5.2799999999999994</v>
      </c>
      <c r="K15" s="5">
        <f t="shared" si="4"/>
        <v>84.02</v>
      </c>
      <c r="L15" s="5">
        <f t="shared" si="4"/>
        <v>0</v>
      </c>
      <c r="M15" s="5">
        <f t="shared" si="4"/>
        <v>0</v>
      </c>
      <c r="N15" s="5">
        <f t="shared" si="4"/>
        <v>2809.4850000000006</v>
      </c>
      <c r="O15" s="5">
        <f>'Dec 2023'!T15</f>
        <v>131.69</v>
      </c>
      <c r="P15" s="5">
        <f t="shared" si="4"/>
        <v>0</v>
      </c>
      <c r="Q15" s="5">
        <f t="shared" si="4"/>
        <v>0</v>
      </c>
      <c r="R15" s="5">
        <f t="shared" si="4"/>
        <v>0</v>
      </c>
      <c r="S15" s="5">
        <f t="shared" si="4"/>
        <v>0</v>
      </c>
      <c r="T15" s="5">
        <f t="shared" si="4"/>
        <v>131.69</v>
      </c>
      <c r="U15" s="5">
        <f t="shared" si="4"/>
        <v>4487.0249999999996</v>
      </c>
      <c r="V15" s="47"/>
    </row>
    <row r="16" spans="1:22" ht="38.25" customHeight="1">
      <c r="A16" s="44">
        <v>8</v>
      </c>
      <c r="B16" s="46" t="s">
        <v>22</v>
      </c>
      <c r="C16" s="3">
        <f>'Dec 2023'!H16</f>
        <v>765.0840000000004</v>
      </c>
      <c r="D16" s="3">
        <v>0.32</v>
      </c>
      <c r="E16" s="3">
        <f>'Dec 2023'!E16+'Jan 2024'!D16</f>
        <v>16.479999999999997</v>
      </c>
      <c r="F16" s="3">
        <v>0</v>
      </c>
      <c r="G16" s="3">
        <f>'Dec 2023'!G16+'Jan 2024'!F16</f>
        <v>7.24</v>
      </c>
      <c r="H16" s="3">
        <f t="shared" si="0"/>
        <v>765.40400000000045</v>
      </c>
      <c r="I16" s="3">
        <f>'Dec 2023'!N16</f>
        <v>590.23600000000022</v>
      </c>
      <c r="J16" s="3">
        <v>1.21</v>
      </c>
      <c r="K16" s="3">
        <f>'Dec 2023'!K16+'Jan 2024'!J16</f>
        <v>14.470000000000002</v>
      </c>
      <c r="L16" s="3">
        <v>0</v>
      </c>
      <c r="M16" s="3">
        <f>'Dec 2023'!M16+'Jan 2024'!L16</f>
        <v>0</v>
      </c>
      <c r="N16" s="3">
        <f t="shared" si="1"/>
        <v>591.44600000000025</v>
      </c>
      <c r="O16" s="3">
        <f>'Dec 2023'!T16</f>
        <v>59.262000000000043</v>
      </c>
      <c r="P16" s="3">
        <v>0</v>
      </c>
      <c r="Q16" s="3">
        <f>'Dec 2023'!Q16+'Jan 2024'!P16</f>
        <v>0.19</v>
      </c>
      <c r="R16" s="3">
        <v>0</v>
      </c>
      <c r="S16" s="3">
        <f>'Dec 2023'!S16+'Jan 2024'!R16</f>
        <v>118.37</v>
      </c>
      <c r="T16" s="3">
        <f t="shared" si="2"/>
        <v>59.262000000000043</v>
      </c>
      <c r="U16" s="3">
        <f>H16+N16+T16</f>
        <v>1416.1120000000008</v>
      </c>
    </row>
    <row r="17" spans="1:23" ht="61.5" customHeight="1">
      <c r="A17" s="44">
        <v>9</v>
      </c>
      <c r="B17" s="46" t="s">
        <v>23</v>
      </c>
      <c r="C17" s="3">
        <f>'Dec 2023'!H17</f>
        <v>0.19599999999994777</v>
      </c>
      <c r="D17" s="3">
        <v>0</v>
      </c>
      <c r="E17" s="3">
        <f>'Dec 2023'!E17+'Jan 2024'!D17</f>
        <v>0.05</v>
      </c>
      <c r="F17" s="3">
        <v>0</v>
      </c>
      <c r="G17" s="3">
        <f>'Dec 2023'!G17+'Jan 2024'!F17</f>
        <v>2.5299999999999998</v>
      </c>
      <c r="H17" s="3">
        <f t="shared" si="0"/>
        <v>0.19599999999994777</v>
      </c>
      <c r="I17" s="3">
        <f>'Dec 2023'!N17</f>
        <v>611.43000000000006</v>
      </c>
      <c r="J17" s="3">
        <v>1.04</v>
      </c>
      <c r="K17" s="3">
        <f>'Dec 2023'!K17+'Jan 2024'!J17</f>
        <v>23.779999999999998</v>
      </c>
      <c r="L17" s="3">
        <v>0</v>
      </c>
      <c r="M17" s="3">
        <f>'Dec 2023'!M17+'Jan 2024'!L17</f>
        <v>0.43</v>
      </c>
      <c r="N17" s="3">
        <f t="shared" si="1"/>
        <v>612.47</v>
      </c>
      <c r="O17" s="3">
        <f>'Dec 2023'!T17</f>
        <v>1.5399999999999998</v>
      </c>
      <c r="P17" s="3">
        <v>0</v>
      </c>
      <c r="Q17" s="3">
        <f>'Dec 2023'!Q17+'Jan 2024'!P17</f>
        <v>1.22</v>
      </c>
      <c r="R17" s="3">
        <v>0</v>
      </c>
      <c r="S17" s="3">
        <f>'Dec 2023'!S17+'Jan 2024'!R17</f>
        <v>1.63</v>
      </c>
      <c r="T17" s="3">
        <f t="shared" si="2"/>
        <v>1.5399999999999998</v>
      </c>
      <c r="U17" s="3">
        <f>H17+N17+T17</f>
        <v>614.2059999999999</v>
      </c>
    </row>
    <row r="18" spans="1:23" s="4" customFormat="1" ht="38.25" customHeight="1">
      <c r="A18" s="44">
        <v>10</v>
      </c>
      <c r="B18" s="46" t="s">
        <v>24</v>
      </c>
      <c r="C18" s="3">
        <f>'Dec 2023'!H18</f>
        <v>90.266000000000147</v>
      </c>
      <c r="D18" s="3">
        <v>0</v>
      </c>
      <c r="E18" s="3">
        <f>'Dec 2023'!E18+'Jan 2024'!D18</f>
        <v>0.05</v>
      </c>
      <c r="F18" s="3">
        <v>0</v>
      </c>
      <c r="G18" s="3">
        <f>'Dec 2023'!G18+'Jan 2024'!F18</f>
        <v>0.05</v>
      </c>
      <c r="H18" s="3">
        <f t="shared" si="0"/>
        <v>90.266000000000147</v>
      </c>
      <c r="I18" s="3">
        <f>'Dec 2023'!N18</f>
        <v>624.96000000000015</v>
      </c>
      <c r="J18" s="3">
        <v>0.28000000000000003</v>
      </c>
      <c r="K18" s="3">
        <f>'Dec 2023'!K18+'Jan 2024'!J18</f>
        <v>14.084999999999999</v>
      </c>
      <c r="L18" s="3">
        <v>0</v>
      </c>
      <c r="M18" s="3">
        <f>'Dec 2023'!M18+'Jan 2024'!L18</f>
        <v>6.1400000000000006</v>
      </c>
      <c r="N18" s="3">
        <f t="shared" si="1"/>
        <v>625.24000000000012</v>
      </c>
      <c r="O18" s="3">
        <f>'Dec 2023'!T18</f>
        <v>35.689999999999991</v>
      </c>
      <c r="P18" s="3">
        <v>0</v>
      </c>
      <c r="Q18" s="3">
        <f>'Dec 2023'!Q18+'Jan 2024'!P18</f>
        <v>0</v>
      </c>
      <c r="R18" s="3">
        <v>0</v>
      </c>
      <c r="S18" s="3">
        <f>'Dec 2023'!S18+'Jan 2024'!R18</f>
        <v>0</v>
      </c>
      <c r="T18" s="3">
        <f t="shared" si="2"/>
        <v>35.689999999999991</v>
      </c>
      <c r="U18" s="3">
        <f>H18+N18+T18</f>
        <v>751.19600000000025</v>
      </c>
    </row>
    <row r="19" spans="1:23" s="4" customFormat="1" ht="38.25" customHeight="1">
      <c r="A19" s="43"/>
      <c r="B19" s="45" t="s">
        <v>25</v>
      </c>
      <c r="C19" s="5">
        <f>'Dec 2023'!H19</f>
        <v>855.5460000000005</v>
      </c>
      <c r="D19" s="5">
        <f t="shared" ref="D19:U19" si="5">SUM(D16:D18)</f>
        <v>0.32</v>
      </c>
      <c r="E19" s="5">
        <f t="shared" si="5"/>
        <v>16.579999999999998</v>
      </c>
      <c r="F19" s="5">
        <f t="shared" si="5"/>
        <v>0</v>
      </c>
      <c r="G19" s="5">
        <f t="shared" si="5"/>
        <v>9.82</v>
      </c>
      <c r="H19" s="5">
        <f t="shared" si="5"/>
        <v>855.86600000000055</v>
      </c>
      <c r="I19" s="5">
        <f>'Dec 2023'!N19</f>
        <v>1826.6260000000002</v>
      </c>
      <c r="J19" s="5">
        <f t="shared" si="5"/>
        <v>2.5300000000000002</v>
      </c>
      <c r="K19" s="5">
        <f t="shared" si="5"/>
        <v>52.335000000000001</v>
      </c>
      <c r="L19" s="5">
        <f t="shared" si="5"/>
        <v>0</v>
      </c>
      <c r="M19" s="5">
        <f t="shared" si="5"/>
        <v>6.57</v>
      </c>
      <c r="N19" s="5">
        <f t="shared" si="5"/>
        <v>1829.1560000000004</v>
      </c>
      <c r="O19" s="5">
        <f>'Dec 2023'!T19</f>
        <v>96.492000000000033</v>
      </c>
      <c r="P19" s="5">
        <f t="shared" si="5"/>
        <v>0</v>
      </c>
      <c r="Q19" s="5">
        <f t="shared" si="5"/>
        <v>1.41</v>
      </c>
      <c r="R19" s="5">
        <f t="shared" si="5"/>
        <v>0</v>
      </c>
      <c r="S19" s="5">
        <f t="shared" si="5"/>
        <v>120</v>
      </c>
      <c r="T19" s="5">
        <f t="shared" si="5"/>
        <v>96.492000000000033</v>
      </c>
      <c r="U19" s="5">
        <f t="shared" si="5"/>
        <v>2781.514000000001</v>
      </c>
    </row>
    <row r="20" spans="1:23" ht="38.25" customHeight="1">
      <c r="A20" s="44">
        <v>11</v>
      </c>
      <c r="B20" s="46" t="s">
        <v>26</v>
      </c>
      <c r="C20" s="3">
        <f>'Dec 2023'!H20</f>
        <v>607.42999999999984</v>
      </c>
      <c r="D20" s="3">
        <v>0</v>
      </c>
      <c r="E20" s="3">
        <f>'Dec 2023'!E20+'Jan 2024'!D20</f>
        <v>0</v>
      </c>
      <c r="F20" s="3">
        <v>0</v>
      </c>
      <c r="G20" s="3">
        <f>'Dec 2023'!G20+'Jan 2024'!F20</f>
        <v>0</v>
      </c>
      <c r="H20" s="3">
        <f t="shared" si="0"/>
        <v>607.42999999999984</v>
      </c>
      <c r="I20" s="3">
        <f>'Dec 2023'!N20</f>
        <v>776.09800000000018</v>
      </c>
      <c r="J20" s="3">
        <v>2.59</v>
      </c>
      <c r="K20" s="3">
        <f>'Dec 2023'!K20+'Jan 2024'!J20</f>
        <v>30.3</v>
      </c>
      <c r="L20" s="3">
        <v>0</v>
      </c>
      <c r="M20" s="3">
        <f>'Dec 2023'!M20+'Jan 2024'!L20</f>
        <v>0.02</v>
      </c>
      <c r="N20" s="3">
        <f t="shared" si="1"/>
        <v>778.68800000000022</v>
      </c>
      <c r="O20" s="3">
        <f>'Dec 2023'!T20</f>
        <v>37.580000000000005</v>
      </c>
      <c r="P20" s="3">
        <v>0</v>
      </c>
      <c r="Q20" s="3">
        <f>'Dec 2023'!Q20+'Jan 2024'!P20</f>
        <v>0</v>
      </c>
      <c r="R20" s="3">
        <v>0</v>
      </c>
      <c r="S20" s="3">
        <f>'Dec 2023'!S20+'Jan 2024'!R20</f>
        <v>0</v>
      </c>
      <c r="T20" s="3">
        <f t="shared" si="2"/>
        <v>37.580000000000005</v>
      </c>
      <c r="U20" s="3">
        <f>H20+N20+T20</f>
        <v>1423.6979999999999</v>
      </c>
      <c r="W20" s="90"/>
    </row>
    <row r="21" spans="1:23" ht="38.25" customHeight="1">
      <c r="A21" s="44">
        <v>12</v>
      </c>
      <c r="B21" s="46" t="s">
        <v>27</v>
      </c>
      <c r="C21" s="3">
        <f>'Dec 2023'!H21</f>
        <v>1.2000000000000002</v>
      </c>
      <c r="D21" s="3">
        <v>0</v>
      </c>
      <c r="E21" s="3">
        <f>'Dec 2023'!E21+'Jan 2024'!D21</f>
        <v>0</v>
      </c>
      <c r="F21" s="3">
        <v>0</v>
      </c>
      <c r="G21" s="3">
        <f>'Dec 2023'!G21+'Jan 2024'!F21</f>
        <v>0.87</v>
      </c>
      <c r="H21" s="3">
        <f t="shared" si="0"/>
        <v>1.2000000000000002</v>
      </c>
      <c r="I21" s="3">
        <f>'Dec 2023'!N21</f>
        <v>471.91700000000014</v>
      </c>
      <c r="J21" s="3">
        <v>0.23</v>
      </c>
      <c r="K21" s="3">
        <f>'Dec 2023'!K21+'Jan 2024'!J21</f>
        <v>10.740000000000002</v>
      </c>
      <c r="L21" s="3">
        <v>0</v>
      </c>
      <c r="M21" s="3">
        <f>'Dec 2023'!M21+'Jan 2024'!L21</f>
        <v>0.02</v>
      </c>
      <c r="N21" s="3">
        <f t="shared" si="1"/>
        <v>472.14700000000016</v>
      </c>
      <c r="O21" s="3">
        <f>'Dec 2023'!T21</f>
        <v>2.649999999999995</v>
      </c>
      <c r="P21" s="3">
        <v>0</v>
      </c>
      <c r="Q21" s="3">
        <f>'Dec 2023'!Q21+'Jan 2024'!P21</f>
        <v>0</v>
      </c>
      <c r="R21" s="3">
        <v>0</v>
      </c>
      <c r="S21" s="3">
        <f>'Dec 2023'!S21+'Jan 2024'!R21</f>
        <v>16.239999999999998</v>
      </c>
      <c r="T21" s="3">
        <f t="shared" si="2"/>
        <v>2.649999999999995</v>
      </c>
      <c r="U21" s="3">
        <f>H21+N21+T21</f>
        <v>475.99700000000013</v>
      </c>
      <c r="W21" s="90"/>
    </row>
    <row r="22" spans="1:23" s="4" customFormat="1" ht="38.25" customHeight="1">
      <c r="A22" s="44">
        <v>13</v>
      </c>
      <c r="B22" s="46" t="s">
        <v>28</v>
      </c>
      <c r="C22" s="3">
        <f>'Dec 2023'!H22</f>
        <v>22.430000000000021</v>
      </c>
      <c r="D22" s="3">
        <v>0</v>
      </c>
      <c r="E22" s="3">
        <f>'Dec 2023'!E22+'Jan 2024'!D22</f>
        <v>0</v>
      </c>
      <c r="F22" s="3">
        <v>0</v>
      </c>
      <c r="G22" s="3">
        <f>'Dec 2023'!G22+'Jan 2024'!F22</f>
        <v>0</v>
      </c>
      <c r="H22" s="3">
        <f t="shared" si="0"/>
        <v>22.430000000000021</v>
      </c>
      <c r="I22" s="3">
        <f>'Dec 2023'!N22</f>
        <v>702.7</v>
      </c>
      <c r="J22" s="3">
        <v>0.67</v>
      </c>
      <c r="K22" s="3">
        <f>'Dec 2023'!K22+'Jan 2024'!J22</f>
        <v>5.15</v>
      </c>
      <c r="L22" s="3">
        <v>0</v>
      </c>
      <c r="M22" s="3">
        <f>'Dec 2023'!M22+'Jan 2024'!L22</f>
        <v>0</v>
      </c>
      <c r="N22" s="3">
        <f t="shared" si="1"/>
        <v>703.37</v>
      </c>
      <c r="O22" s="3">
        <f>'Dec 2023'!T22</f>
        <v>0.60000000000000098</v>
      </c>
      <c r="P22" s="3">
        <v>0</v>
      </c>
      <c r="Q22" s="3">
        <f>'Dec 2023'!Q22+'Jan 2024'!P22</f>
        <v>0</v>
      </c>
      <c r="R22" s="3">
        <v>0</v>
      </c>
      <c r="S22" s="3">
        <f>'Dec 2023'!S22+'Jan 2024'!R22</f>
        <v>0</v>
      </c>
      <c r="T22" s="3">
        <f t="shared" si="2"/>
        <v>0.60000000000000098</v>
      </c>
      <c r="U22" s="3">
        <f>H22+N22+T22</f>
        <v>726.40000000000009</v>
      </c>
      <c r="W22" s="90"/>
    </row>
    <row r="23" spans="1:23" s="4" customFormat="1" ht="38.25" customHeight="1">
      <c r="A23" s="44">
        <v>14</v>
      </c>
      <c r="B23" s="46" t="s">
        <v>29</v>
      </c>
      <c r="C23" s="3">
        <f>'Dec 2023'!H23</f>
        <v>436.16999999999996</v>
      </c>
      <c r="D23" s="3">
        <v>3.2</v>
      </c>
      <c r="E23" s="3">
        <f>'Dec 2023'!E23+'Jan 2024'!D23</f>
        <v>39.730000000000004</v>
      </c>
      <c r="F23" s="3">
        <v>0</v>
      </c>
      <c r="G23" s="3">
        <f>'Dec 2023'!G23+'Jan 2024'!F23</f>
        <v>31</v>
      </c>
      <c r="H23" s="3">
        <f t="shared" si="0"/>
        <v>439.36999999999995</v>
      </c>
      <c r="I23" s="3">
        <f>'Dec 2023'!N23</f>
        <v>149.09499999999997</v>
      </c>
      <c r="J23" s="3">
        <v>1.1100000000000001</v>
      </c>
      <c r="K23" s="3">
        <f>'Dec 2023'!K23+'Jan 2024'!J23</f>
        <v>10.65</v>
      </c>
      <c r="L23" s="3">
        <v>0</v>
      </c>
      <c r="M23" s="3">
        <f>'Dec 2023'!M23+'Jan 2024'!L23</f>
        <v>0</v>
      </c>
      <c r="N23" s="3">
        <f t="shared" si="1"/>
        <v>150.20499999999998</v>
      </c>
      <c r="O23" s="3">
        <f>'Dec 2023'!T23</f>
        <v>22.5</v>
      </c>
      <c r="P23" s="3">
        <v>0</v>
      </c>
      <c r="Q23" s="3">
        <f>'Dec 2023'!Q23+'Jan 2024'!P23</f>
        <v>0</v>
      </c>
      <c r="R23" s="3">
        <v>0</v>
      </c>
      <c r="S23" s="3">
        <f>'Dec 2023'!S23+'Jan 2024'!R23</f>
        <v>0</v>
      </c>
      <c r="T23" s="3">
        <f t="shared" si="2"/>
        <v>22.5</v>
      </c>
      <c r="U23" s="3">
        <f>H23+N23+T23</f>
        <v>612.07499999999993</v>
      </c>
      <c r="W23" s="90"/>
    </row>
    <row r="24" spans="1:23" s="4" customFormat="1" ht="38.25" customHeight="1">
      <c r="A24" s="43"/>
      <c r="B24" s="45" t="s">
        <v>30</v>
      </c>
      <c r="C24" s="5">
        <f>'Dec 2023'!H24</f>
        <v>1067.23</v>
      </c>
      <c r="D24" s="5">
        <f t="shared" ref="D24:U24" si="6">SUM(D20:D23)</f>
        <v>3.2</v>
      </c>
      <c r="E24" s="5">
        <f t="shared" si="6"/>
        <v>39.730000000000004</v>
      </c>
      <c r="F24" s="5">
        <f t="shared" si="6"/>
        <v>0</v>
      </c>
      <c r="G24" s="5">
        <f t="shared" si="6"/>
        <v>31.87</v>
      </c>
      <c r="H24" s="5">
        <f t="shared" si="6"/>
        <v>1070.4299999999998</v>
      </c>
      <c r="I24" s="5">
        <f>'Dec 2023'!N24</f>
        <v>2099.8100000000004</v>
      </c>
      <c r="J24" s="5">
        <f t="shared" si="6"/>
        <v>4.5999999999999996</v>
      </c>
      <c r="K24" s="5">
        <f t="shared" si="6"/>
        <v>56.84</v>
      </c>
      <c r="L24" s="5">
        <f t="shared" si="6"/>
        <v>0</v>
      </c>
      <c r="M24" s="5">
        <f t="shared" si="6"/>
        <v>0.04</v>
      </c>
      <c r="N24" s="5">
        <f t="shared" si="6"/>
        <v>2104.4100000000003</v>
      </c>
      <c r="O24" s="5">
        <f>'Dec 2023'!T24</f>
        <v>63.330000000000005</v>
      </c>
      <c r="P24" s="5">
        <f t="shared" si="6"/>
        <v>0</v>
      </c>
      <c r="Q24" s="5">
        <f t="shared" si="6"/>
        <v>0</v>
      </c>
      <c r="R24" s="5">
        <f t="shared" si="6"/>
        <v>0</v>
      </c>
      <c r="S24" s="5">
        <f t="shared" si="6"/>
        <v>16.239999999999998</v>
      </c>
      <c r="T24" s="5">
        <f t="shared" si="6"/>
        <v>63.330000000000005</v>
      </c>
      <c r="U24" s="5">
        <f t="shared" si="6"/>
        <v>3238.17</v>
      </c>
    </row>
    <row r="25" spans="1:23" s="4" customFormat="1" ht="38.25" customHeight="1">
      <c r="A25" s="43"/>
      <c r="B25" s="45" t="s">
        <v>31</v>
      </c>
      <c r="C25" s="5">
        <f>'Dec 2023'!H25</f>
        <v>3950.9559999999992</v>
      </c>
      <c r="D25" s="5">
        <f t="shared" ref="D25:U25" si="7">D24+D19+D15+D11</f>
        <v>3.52</v>
      </c>
      <c r="E25" s="5">
        <f t="shared" si="7"/>
        <v>56.31</v>
      </c>
      <c r="F25" s="5">
        <f t="shared" si="7"/>
        <v>0</v>
      </c>
      <c r="G25" s="5">
        <f t="shared" si="7"/>
        <v>46.69</v>
      </c>
      <c r="H25" s="5">
        <f t="shared" si="7"/>
        <v>3954.4759999999992</v>
      </c>
      <c r="I25" s="5">
        <f>'Dec 2023'!N25</f>
        <v>9278.5080000000016</v>
      </c>
      <c r="J25" s="5">
        <f t="shared" si="7"/>
        <v>27.44</v>
      </c>
      <c r="K25" s="5">
        <f t="shared" si="7"/>
        <v>375.55799999999999</v>
      </c>
      <c r="L25" s="5">
        <f t="shared" si="7"/>
        <v>0</v>
      </c>
      <c r="M25" s="5">
        <f t="shared" si="7"/>
        <v>6.9</v>
      </c>
      <c r="N25" s="5">
        <f t="shared" si="7"/>
        <v>9305.9480000000003</v>
      </c>
      <c r="O25" s="5">
        <f>'Dec 2023'!T25</f>
        <v>411.17800000000005</v>
      </c>
      <c r="P25" s="5">
        <f t="shared" si="7"/>
        <v>0</v>
      </c>
      <c r="Q25" s="5">
        <f t="shared" si="7"/>
        <v>1.41</v>
      </c>
      <c r="R25" s="5">
        <f t="shared" si="7"/>
        <v>0</v>
      </c>
      <c r="S25" s="5">
        <f t="shared" si="7"/>
        <v>136.24</v>
      </c>
      <c r="T25" s="5">
        <f t="shared" si="7"/>
        <v>411.17800000000005</v>
      </c>
      <c r="U25" s="5">
        <f t="shared" si="7"/>
        <v>13671.602000000001</v>
      </c>
    </row>
    <row r="26" spans="1:23" ht="38.25" customHeight="1">
      <c r="A26" s="44">
        <v>15</v>
      </c>
      <c r="B26" s="46" t="s">
        <v>32</v>
      </c>
      <c r="C26" s="3">
        <f>'Dec 2023'!H26</f>
        <v>1678.4500000000003</v>
      </c>
      <c r="D26" s="3">
        <v>2.73</v>
      </c>
      <c r="E26" s="3">
        <f>'Dec 2023'!E26+'Jan 2024'!D26</f>
        <v>52.889999999999993</v>
      </c>
      <c r="F26" s="3">
        <v>0</v>
      </c>
      <c r="G26" s="3">
        <f>'Dec 2023'!G26+'Jan 2024'!F26</f>
        <v>0</v>
      </c>
      <c r="H26" s="3">
        <f t="shared" si="0"/>
        <v>1681.1800000000003</v>
      </c>
      <c r="I26" s="3">
        <f>'Dec 2023'!N26</f>
        <v>123.28</v>
      </c>
      <c r="J26" s="3">
        <v>0</v>
      </c>
      <c r="K26" s="3">
        <f>'Dec 2023'!K26+'Jan 2024'!J26</f>
        <v>1.7300000000000002</v>
      </c>
      <c r="L26" s="3">
        <v>0</v>
      </c>
      <c r="M26" s="3">
        <f>'Dec 2023'!M26+'Jan 2024'!L26</f>
        <v>0</v>
      </c>
      <c r="N26" s="3">
        <f t="shared" si="1"/>
        <v>123.28</v>
      </c>
      <c r="O26" s="3">
        <f>'Dec 2023'!T26</f>
        <v>16.489999999999998</v>
      </c>
      <c r="P26" s="3">
        <v>0</v>
      </c>
      <c r="Q26" s="3">
        <f>'Dec 2023'!Q26+'Jan 2024'!P26</f>
        <v>0.12</v>
      </c>
      <c r="R26" s="3">
        <v>0</v>
      </c>
      <c r="S26" s="3">
        <f>'Dec 2023'!S26+'Jan 2024'!R26</f>
        <v>0</v>
      </c>
      <c r="T26" s="3">
        <f t="shared" si="2"/>
        <v>16.489999999999998</v>
      </c>
      <c r="U26" s="3">
        <f>H26+N26+T26</f>
        <v>1820.9500000000003</v>
      </c>
    </row>
    <row r="27" spans="1:23" s="4" customFormat="1" ht="38.25" customHeight="1">
      <c r="A27" s="44">
        <v>16</v>
      </c>
      <c r="B27" s="46" t="s">
        <v>33</v>
      </c>
      <c r="C27" s="3">
        <f>'Dec 2023'!H27</f>
        <v>5742.5950000000039</v>
      </c>
      <c r="D27" s="3">
        <v>9.41</v>
      </c>
      <c r="E27" s="3">
        <f>'Dec 2023'!E27+'Jan 2024'!D27</f>
        <v>66.650000000000006</v>
      </c>
      <c r="F27" s="3">
        <v>0</v>
      </c>
      <c r="G27" s="3">
        <f>'Dec 2023'!G27+'Jan 2024'!F27</f>
        <v>0.02</v>
      </c>
      <c r="H27" s="3">
        <f t="shared" si="0"/>
        <v>5752.0050000000037</v>
      </c>
      <c r="I27" s="3">
        <f>'Dec 2023'!N27</f>
        <v>664.99799999999982</v>
      </c>
      <c r="J27" s="3">
        <v>2.0499999999999998</v>
      </c>
      <c r="K27" s="3">
        <f>'Dec 2023'!K27+'Jan 2024'!J27</f>
        <v>32.889999999999993</v>
      </c>
      <c r="L27" s="3">
        <v>0</v>
      </c>
      <c r="M27" s="3">
        <f>'Dec 2023'!M27+'Jan 2024'!L27</f>
        <v>0.02</v>
      </c>
      <c r="N27" s="3">
        <f t="shared" si="1"/>
        <v>667.04799999999977</v>
      </c>
      <c r="O27" s="3">
        <f>'Dec 2023'!T27</f>
        <v>34.630000000000003</v>
      </c>
      <c r="P27" s="3">
        <v>3.2</v>
      </c>
      <c r="Q27" s="3">
        <f>'Dec 2023'!Q27+'Jan 2024'!P27</f>
        <v>4.03</v>
      </c>
      <c r="R27" s="3">
        <v>0</v>
      </c>
      <c r="S27" s="3">
        <f>'Dec 2023'!S27+'Jan 2024'!R27</f>
        <v>0</v>
      </c>
      <c r="T27" s="3">
        <f t="shared" si="2"/>
        <v>37.830000000000005</v>
      </c>
      <c r="U27" s="3">
        <f>H27+N27+T27</f>
        <v>6456.8830000000034</v>
      </c>
    </row>
    <row r="28" spans="1:23" s="4" customFormat="1" ht="38.25" customHeight="1">
      <c r="A28" s="43"/>
      <c r="B28" s="45" t="s">
        <v>34</v>
      </c>
      <c r="C28" s="5">
        <f>'Dec 2023'!H28</f>
        <v>7421.0450000000037</v>
      </c>
      <c r="D28" s="5">
        <f t="shared" ref="D28:U28" si="8">SUM(D26:D27)</f>
        <v>12.14</v>
      </c>
      <c r="E28" s="5">
        <f t="shared" si="8"/>
        <v>119.53999999999999</v>
      </c>
      <c r="F28" s="5">
        <f t="shared" si="8"/>
        <v>0</v>
      </c>
      <c r="G28" s="5">
        <f t="shared" si="8"/>
        <v>0.02</v>
      </c>
      <c r="H28" s="5">
        <f t="shared" si="8"/>
        <v>7433.185000000004</v>
      </c>
      <c r="I28" s="5">
        <f>'Dec 2023'!N28</f>
        <v>788.27799999999979</v>
      </c>
      <c r="J28" s="5">
        <f t="shared" si="8"/>
        <v>2.0499999999999998</v>
      </c>
      <c r="K28" s="5">
        <f t="shared" si="8"/>
        <v>34.61999999999999</v>
      </c>
      <c r="L28" s="5">
        <f t="shared" si="8"/>
        <v>0</v>
      </c>
      <c r="M28" s="5">
        <f t="shared" si="8"/>
        <v>0.02</v>
      </c>
      <c r="N28" s="5">
        <f t="shared" si="8"/>
        <v>790.32799999999975</v>
      </c>
      <c r="O28" s="5">
        <f>'Dec 2023'!T28</f>
        <v>51.120000000000005</v>
      </c>
      <c r="P28" s="5">
        <f t="shared" si="8"/>
        <v>3.2</v>
      </c>
      <c r="Q28" s="5">
        <f t="shared" si="8"/>
        <v>4.1500000000000004</v>
      </c>
      <c r="R28" s="5">
        <f t="shared" si="8"/>
        <v>0</v>
      </c>
      <c r="S28" s="5">
        <f t="shared" si="8"/>
        <v>0</v>
      </c>
      <c r="T28" s="5">
        <f t="shared" si="8"/>
        <v>54.320000000000007</v>
      </c>
      <c r="U28" s="5">
        <f t="shared" si="8"/>
        <v>8277.8330000000042</v>
      </c>
    </row>
    <row r="29" spans="1:23" ht="38.25" customHeight="1">
      <c r="A29" s="44">
        <v>17</v>
      </c>
      <c r="B29" s="46" t="s">
        <v>35</v>
      </c>
      <c r="C29" s="3">
        <f>'Dec 2023'!H29</f>
        <v>5022.5000000000009</v>
      </c>
      <c r="D29" s="3">
        <v>3.09</v>
      </c>
      <c r="E29" s="3">
        <f>'Dec 2023'!E29+'Jan 2024'!D29</f>
        <v>144.55200000000002</v>
      </c>
      <c r="F29" s="3">
        <v>0</v>
      </c>
      <c r="G29" s="3">
        <f>'Dec 2023'!G29+'Jan 2024'!F29</f>
        <v>0</v>
      </c>
      <c r="H29" s="3">
        <f t="shared" si="0"/>
        <v>5025.5900000000011</v>
      </c>
      <c r="I29" s="3">
        <f>'Dec 2023'!N29</f>
        <v>123.74000000000001</v>
      </c>
      <c r="J29" s="3">
        <v>1.33</v>
      </c>
      <c r="K29" s="3">
        <f>'Dec 2023'!K29+'Jan 2024'!J29</f>
        <v>3.5399999999999996</v>
      </c>
      <c r="L29" s="3">
        <v>0</v>
      </c>
      <c r="M29" s="3">
        <f>'Dec 2023'!M29+'Jan 2024'!L29</f>
        <v>0</v>
      </c>
      <c r="N29" s="3">
        <f t="shared" si="1"/>
        <v>125.07000000000001</v>
      </c>
      <c r="O29" s="3">
        <f>'Dec 2023'!T29</f>
        <v>34.52000000000001</v>
      </c>
      <c r="P29" s="3">
        <v>0</v>
      </c>
      <c r="Q29" s="3">
        <f>'Dec 2023'!Q29+'Jan 2024'!P29</f>
        <v>0</v>
      </c>
      <c r="R29" s="3">
        <v>0</v>
      </c>
      <c r="S29" s="3">
        <f>'Dec 2023'!S29+'Jan 2024'!R29</f>
        <v>0</v>
      </c>
      <c r="T29" s="3">
        <f t="shared" si="2"/>
        <v>34.52000000000001</v>
      </c>
      <c r="U29" s="3">
        <f>H29+N29+T29</f>
        <v>5185.1800000000012</v>
      </c>
      <c r="W29" s="89"/>
    </row>
    <row r="30" spans="1:23" ht="54.75" customHeight="1">
      <c r="A30" s="44">
        <v>18</v>
      </c>
      <c r="B30" s="46" t="s">
        <v>36</v>
      </c>
      <c r="C30" s="3">
        <f>'Dec 2023'!H30</f>
        <v>3765.3039999999992</v>
      </c>
      <c r="D30" s="3">
        <v>5.71</v>
      </c>
      <c r="E30" s="3">
        <f>'Dec 2023'!E30+'Jan 2024'!D30</f>
        <v>68.864000000000004</v>
      </c>
      <c r="F30" s="3">
        <v>0</v>
      </c>
      <c r="G30" s="3">
        <f>'Dec 2023'!G30+'Jan 2024'!F30</f>
        <v>0</v>
      </c>
      <c r="H30" s="3">
        <f t="shared" si="0"/>
        <v>3771.0139999999992</v>
      </c>
      <c r="I30" s="3">
        <f>'Dec 2023'!N30</f>
        <v>232.36699999999999</v>
      </c>
      <c r="J30" s="3">
        <v>0</v>
      </c>
      <c r="K30" s="3">
        <f>'Dec 2023'!K30+'Jan 2024'!J30</f>
        <v>33.78</v>
      </c>
      <c r="L30" s="3">
        <v>0</v>
      </c>
      <c r="M30" s="3">
        <f>'Dec 2023'!M30+'Jan 2024'!L30</f>
        <v>0</v>
      </c>
      <c r="N30" s="3">
        <f t="shared" si="1"/>
        <v>232.36699999999999</v>
      </c>
      <c r="O30" s="3">
        <f>'Dec 2023'!T30</f>
        <v>23.25</v>
      </c>
      <c r="P30" s="3">
        <v>0</v>
      </c>
      <c r="Q30" s="3">
        <f>'Dec 2023'!Q30+'Jan 2024'!P30</f>
        <v>0</v>
      </c>
      <c r="R30" s="3">
        <v>0</v>
      </c>
      <c r="S30" s="3">
        <f>'Dec 2023'!S30+'Jan 2024'!R30</f>
        <v>0</v>
      </c>
      <c r="T30" s="3">
        <f t="shared" si="2"/>
        <v>23.25</v>
      </c>
      <c r="U30" s="3">
        <f>H30+N30+T30</f>
        <v>4026.6309999999994</v>
      </c>
      <c r="W30" s="89"/>
    </row>
    <row r="31" spans="1:23" s="4" customFormat="1" ht="44.25" customHeight="1">
      <c r="A31" s="44">
        <v>19</v>
      </c>
      <c r="B31" s="46" t="s">
        <v>37</v>
      </c>
      <c r="C31" s="3">
        <f>'Dec 2023'!H31</f>
        <v>4719.5220000000008</v>
      </c>
      <c r="D31" s="3">
        <v>7.31</v>
      </c>
      <c r="E31" s="3">
        <f>'Dec 2023'!E31+'Jan 2024'!D31</f>
        <v>24.339999999999996</v>
      </c>
      <c r="F31" s="3">
        <v>0</v>
      </c>
      <c r="G31" s="3">
        <f>'Dec 2023'!G31+'Jan 2024'!F31</f>
        <v>0</v>
      </c>
      <c r="H31" s="3">
        <f t="shared" si="0"/>
        <v>4726.8320000000012</v>
      </c>
      <c r="I31" s="3">
        <f>'Dec 2023'!N31</f>
        <v>107.89500000000002</v>
      </c>
      <c r="J31" s="3">
        <v>0</v>
      </c>
      <c r="K31" s="3">
        <f>'Dec 2023'!K31+'Jan 2024'!J31</f>
        <v>0.20499999999999999</v>
      </c>
      <c r="L31" s="3">
        <v>0</v>
      </c>
      <c r="M31" s="3">
        <f>'Dec 2023'!M31+'Jan 2024'!L31</f>
        <v>0</v>
      </c>
      <c r="N31" s="3">
        <f t="shared" si="1"/>
        <v>107.89500000000002</v>
      </c>
      <c r="O31" s="3">
        <f>'Dec 2023'!T31</f>
        <v>14.850000000000001</v>
      </c>
      <c r="P31" s="3">
        <v>0</v>
      </c>
      <c r="Q31" s="3">
        <f>'Dec 2023'!Q31+'Jan 2024'!P31</f>
        <v>0</v>
      </c>
      <c r="R31" s="3">
        <v>0</v>
      </c>
      <c r="S31" s="3">
        <f>'Dec 2023'!S31+'Jan 2024'!R31</f>
        <v>0</v>
      </c>
      <c r="T31" s="3">
        <f t="shared" si="2"/>
        <v>14.850000000000001</v>
      </c>
      <c r="U31" s="3">
        <f>H31+N31+T31</f>
        <v>4849.577000000002</v>
      </c>
      <c r="W31" s="89"/>
    </row>
    <row r="32" spans="1:23" ht="70.5" customHeight="1">
      <c r="A32" s="44">
        <v>20</v>
      </c>
      <c r="B32" s="46" t="s">
        <v>38</v>
      </c>
      <c r="C32" s="3">
        <f>'Dec 2023'!H32</f>
        <v>2393.505799999999</v>
      </c>
      <c r="D32" s="3">
        <v>3.5</v>
      </c>
      <c r="E32" s="3">
        <f>'Dec 2023'!E32+'Jan 2024'!D32</f>
        <v>32.71</v>
      </c>
      <c r="F32" s="3">
        <v>0</v>
      </c>
      <c r="G32" s="3">
        <f>'Dec 2023'!G32+'Jan 2024'!F32</f>
        <v>9.73</v>
      </c>
      <c r="H32" s="3">
        <f t="shared" si="0"/>
        <v>2397.005799999999</v>
      </c>
      <c r="I32" s="3">
        <f>'Dec 2023'!N32</f>
        <v>113.55400000000003</v>
      </c>
      <c r="J32" s="3">
        <v>0.35</v>
      </c>
      <c r="K32" s="3">
        <f>'Dec 2023'!K32+'Jan 2024'!J32</f>
        <v>20.727999999999998</v>
      </c>
      <c r="L32" s="3">
        <v>0</v>
      </c>
      <c r="M32" s="3">
        <f>'Dec 2023'!M32+'Jan 2024'!L32</f>
        <v>0</v>
      </c>
      <c r="N32" s="3">
        <f t="shared" si="1"/>
        <v>113.90400000000002</v>
      </c>
      <c r="O32" s="3">
        <f>'Dec 2023'!T32</f>
        <v>67.551999999999992</v>
      </c>
      <c r="P32" s="3">
        <v>0</v>
      </c>
      <c r="Q32" s="3">
        <f>'Dec 2023'!Q32+'Jan 2024'!P32</f>
        <v>0</v>
      </c>
      <c r="R32" s="3">
        <v>0</v>
      </c>
      <c r="S32" s="3">
        <f>'Dec 2023'!S32+'Jan 2024'!R32</f>
        <v>0</v>
      </c>
      <c r="T32" s="3">
        <f t="shared" si="2"/>
        <v>67.551999999999992</v>
      </c>
      <c r="U32" s="3">
        <f>H32+N32+T32</f>
        <v>2578.4617999999991</v>
      </c>
      <c r="W32" s="89"/>
    </row>
    <row r="33" spans="1:23" s="4" customFormat="1" ht="38.25" customHeight="1">
      <c r="A33" s="43"/>
      <c r="B33" s="45" t="s">
        <v>39</v>
      </c>
      <c r="C33" s="5">
        <f>'Dec 2023'!H33</f>
        <v>15900.8318</v>
      </c>
      <c r="D33" s="5">
        <f t="shared" ref="D33:U33" si="9">SUM(D29:D32)</f>
        <v>19.61</v>
      </c>
      <c r="E33" s="5">
        <f t="shared" si="9"/>
        <v>270.46600000000001</v>
      </c>
      <c r="F33" s="5">
        <f t="shared" si="9"/>
        <v>0</v>
      </c>
      <c r="G33" s="5">
        <f t="shared" si="9"/>
        <v>9.73</v>
      </c>
      <c r="H33" s="5">
        <f t="shared" si="9"/>
        <v>15920.441800000001</v>
      </c>
      <c r="I33" s="5">
        <f>'Dec 2023'!N33</f>
        <v>577.55600000000004</v>
      </c>
      <c r="J33" s="5">
        <f t="shared" si="9"/>
        <v>1.6800000000000002</v>
      </c>
      <c r="K33" s="5">
        <f t="shared" si="9"/>
        <v>58.253</v>
      </c>
      <c r="L33" s="5">
        <f t="shared" si="9"/>
        <v>0</v>
      </c>
      <c r="M33" s="5">
        <f t="shared" si="9"/>
        <v>0</v>
      </c>
      <c r="N33" s="5">
        <f t="shared" si="9"/>
        <v>579.2360000000001</v>
      </c>
      <c r="O33" s="5">
        <f>'Dec 2023'!T33</f>
        <v>140.172</v>
      </c>
      <c r="P33" s="5">
        <f t="shared" si="9"/>
        <v>0</v>
      </c>
      <c r="Q33" s="5">
        <f t="shared" si="9"/>
        <v>0</v>
      </c>
      <c r="R33" s="5">
        <f t="shared" si="9"/>
        <v>0</v>
      </c>
      <c r="S33" s="5">
        <f t="shared" si="9"/>
        <v>0</v>
      </c>
      <c r="T33" s="5">
        <f t="shared" si="9"/>
        <v>140.172</v>
      </c>
      <c r="U33" s="5">
        <f t="shared" si="9"/>
        <v>16639.849800000004</v>
      </c>
    </row>
    <row r="34" spans="1:23" ht="38.25" customHeight="1">
      <c r="A34" s="44">
        <v>21</v>
      </c>
      <c r="B34" s="46" t="s">
        <v>40</v>
      </c>
      <c r="C34" s="3">
        <f>'Dec 2023'!H34</f>
        <v>6050.98</v>
      </c>
      <c r="D34" s="3">
        <f>5.12+159.25</f>
        <v>164.37</v>
      </c>
      <c r="E34" s="3">
        <f>'Dec 2023'!E34+'Jan 2024'!D34</f>
        <v>1631.3199999999997</v>
      </c>
      <c r="F34" s="3">
        <v>0</v>
      </c>
      <c r="G34" s="3">
        <f>'Dec 2023'!G34+'Jan 2024'!F34</f>
        <v>2.72</v>
      </c>
      <c r="H34" s="3">
        <f t="shared" si="0"/>
        <v>6215.3499999999995</v>
      </c>
      <c r="I34" s="3">
        <f>'Dec 2023'!N34</f>
        <v>116.16999999999999</v>
      </c>
      <c r="J34" s="3">
        <v>0</v>
      </c>
      <c r="K34" s="3">
        <f>'Dec 2023'!K34+'Jan 2024'!J34</f>
        <v>8.09</v>
      </c>
      <c r="L34" s="3">
        <v>0</v>
      </c>
      <c r="M34" s="3">
        <f>'Dec 2023'!M34+'Jan 2024'!L34</f>
        <v>0</v>
      </c>
      <c r="N34" s="3">
        <f t="shared" si="1"/>
        <v>116.16999999999999</v>
      </c>
      <c r="O34" s="3">
        <f>'Dec 2023'!T34</f>
        <v>72.7</v>
      </c>
      <c r="P34" s="3">
        <v>0</v>
      </c>
      <c r="Q34" s="3">
        <f>'Dec 2023'!Q34+'Jan 2024'!P34</f>
        <v>0</v>
      </c>
      <c r="R34" s="3">
        <v>0</v>
      </c>
      <c r="S34" s="3">
        <f>'Dec 2023'!S34+'Jan 2024'!R34</f>
        <v>0</v>
      </c>
      <c r="T34" s="3">
        <f t="shared" si="2"/>
        <v>72.7</v>
      </c>
      <c r="U34" s="3">
        <f>H34+N34+T34</f>
        <v>6404.2199999999993</v>
      </c>
      <c r="V34" s="48"/>
      <c r="W34" s="13"/>
    </row>
    <row r="35" spans="1:23" ht="38.25" customHeight="1">
      <c r="A35" s="44">
        <v>22</v>
      </c>
      <c r="B35" s="46" t="s">
        <v>41</v>
      </c>
      <c r="C35" s="3">
        <f>'Dec 2023'!H35</f>
        <v>6951.4899999999971</v>
      </c>
      <c r="D35" s="3">
        <f>36.71+9</f>
        <v>45.71</v>
      </c>
      <c r="E35" s="3">
        <f>'Dec 2023'!E35+'Jan 2024'!D35</f>
        <v>313.58</v>
      </c>
      <c r="F35" s="3">
        <v>0</v>
      </c>
      <c r="G35" s="3">
        <f>'Dec 2023'!G35+'Jan 2024'!F35</f>
        <v>0</v>
      </c>
      <c r="H35" s="3">
        <f t="shared" si="0"/>
        <v>6997.1999999999971</v>
      </c>
      <c r="I35" s="3">
        <f>'Dec 2023'!N35</f>
        <v>34.17</v>
      </c>
      <c r="J35" s="3">
        <v>0</v>
      </c>
      <c r="K35" s="3">
        <f>'Dec 2023'!K35+'Jan 2024'!J35</f>
        <v>0.04</v>
      </c>
      <c r="L35" s="3">
        <v>0</v>
      </c>
      <c r="M35" s="3">
        <f>'Dec 2023'!M35+'Jan 2024'!L35</f>
        <v>0</v>
      </c>
      <c r="N35" s="3">
        <f t="shared" si="1"/>
        <v>34.17</v>
      </c>
      <c r="O35" s="3">
        <f>'Dec 2023'!T35</f>
        <v>90.800000000000011</v>
      </c>
      <c r="P35" s="3">
        <v>0</v>
      </c>
      <c r="Q35" s="3">
        <f>'Dec 2023'!Q35+'Jan 2024'!P35</f>
        <v>0</v>
      </c>
      <c r="R35" s="3">
        <v>0</v>
      </c>
      <c r="S35" s="3">
        <f>'Dec 2023'!S35+'Jan 2024'!R35</f>
        <v>0</v>
      </c>
      <c r="T35" s="3">
        <f t="shared" si="2"/>
        <v>90.800000000000011</v>
      </c>
      <c r="U35" s="3">
        <f>H35+N35+T35</f>
        <v>7122.1699999999973</v>
      </c>
      <c r="V35" s="48"/>
      <c r="W35" s="13"/>
    </row>
    <row r="36" spans="1:23" s="4" customFormat="1" ht="38.25" customHeight="1">
      <c r="A36" s="44">
        <v>23</v>
      </c>
      <c r="B36" s="46" t="s">
        <v>42</v>
      </c>
      <c r="C36" s="3">
        <f>'Dec 2023'!H36</f>
        <v>8282.43</v>
      </c>
      <c r="D36" s="3">
        <f>10.53+489.65</f>
        <v>500.17999999999995</v>
      </c>
      <c r="E36" s="3">
        <f>'Dec 2023'!E36+'Jan 2024'!D36</f>
        <v>5084.9500000000007</v>
      </c>
      <c r="F36" s="3">
        <v>0</v>
      </c>
      <c r="G36" s="3">
        <f>'Dec 2023'!G36+'Jan 2024'!F36</f>
        <v>0</v>
      </c>
      <c r="H36" s="3">
        <f t="shared" si="0"/>
        <v>8782.61</v>
      </c>
      <c r="I36" s="3">
        <f>'Dec 2023'!N36</f>
        <v>31.070000000000039</v>
      </c>
      <c r="J36" s="3">
        <v>0.12</v>
      </c>
      <c r="K36" s="3">
        <f>'Dec 2023'!K36+'Jan 2024'!J36</f>
        <v>0.94000000000000006</v>
      </c>
      <c r="L36" s="3">
        <v>0</v>
      </c>
      <c r="M36" s="3">
        <f>'Dec 2023'!M36+'Jan 2024'!L36</f>
        <v>0</v>
      </c>
      <c r="N36" s="3">
        <f t="shared" si="1"/>
        <v>31.19000000000004</v>
      </c>
      <c r="O36" s="3">
        <f>'Dec 2023'!T36</f>
        <v>36.379999999999995</v>
      </c>
      <c r="P36" s="3">
        <v>0</v>
      </c>
      <c r="Q36" s="3">
        <f>'Dec 2023'!Q36+'Jan 2024'!P36</f>
        <v>0</v>
      </c>
      <c r="R36" s="3">
        <v>0</v>
      </c>
      <c r="S36" s="3">
        <f>'Dec 2023'!S36+'Jan 2024'!R36</f>
        <v>0</v>
      </c>
      <c r="T36" s="3">
        <f t="shared" si="2"/>
        <v>36.379999999999995</v>
      </c>
      <c r="U36" s="3">
        <f>H36+N36+T36</f>
        <v>8850.18</v>
      </c>
      <c r="V36" s="9"/>
      <c r="W36" s="13"/>
    </row>
    <row r="37" spans="1:23" s="4" customFormat="1" ht="38.25" customHeight="1">
      <c r="A37" s="44">
        <v>24</v>
      </c>
      <c r="B37" s="46" t="s">
        <v>43</v>
      </c>
      <c r="C37" s="3">
        <f>'Dec 2023'!H37</f>
        <v>5248.9499999999989</v>
      </c>
      <c r="D37" s="3">
        <v>5.04</v>
      </c>
      <c r="E37" s="3">
        <f>'Dec 2023'!E37+'Jan 2024'!D37</f>
        <v>159.47999999999999</v>
      </c>
      <c r="F37" s="3">
        <v>0</v>
      </c>
      <c r="G37" s="3">
        <f>'Dec 2023'!G37+'Jan 2024'!F37</f>
        <v>0</v>
      </c>
      <c r="H37" s="3">
        <f t="shared" si="0"/>
        <v>5253.9899999999989</v>
      </c>
      <c r="I37" s="3">
        <f>'Dec 2023'!N37</f>
        <v>26.700000000000003</v>
      </c>
      <c r="J37" s="3">
        <v>0</v>
      </c>
      <c r="K37" s="3">
        <f>'Dec 2023'!K37+'Jan 2024'!J37</f>
        <v>0</v>
      </c>
      <c r="L37" s="3">
        <v>0</v>
      </c>
      <c r="M37" s="3">
        <f>'Dec 2023'!M37+'Jan 2024'!L37</f>
        <v>0</v>
      </c>
      <c r="N37" s="3">
        <f t="shared" si="1"/>
        <v>26.700000000000003</v>
      </c>
      <c r="O37" s="3">
        <f>'Dec 2023'!T37</f>
        <v>3.0599999999999996</v>
      </c>
      <c r="P37" s="3">
        <v>0</v>
      </c>
      <c r="Q37" s="3">
        <f>'Dec 2023'!Q37+'Jan 2024'!P37</f>
        <v>0</v>
      </c>
      <c r="R37" s="3">
        <v>0</v>
      </c>
      <c r="S37" s="3">
        <f>'Dec 2023'!S37+'Jan 2024'!R37</f>
        <v>0</v>
      </c>
      <c r="T37" s="3">
        <f t="shared" si="2"/>
        <v>3.0599999999999996</v>
      </c>
      <c r="U37" s="3">
        <f>H37+N37+T37</f>
        <v>5283.7499999999991</v>
      </c>
      <c r="V37" s="9"/>
      <c r="W37" s="13"/>
    </row>
    <row r="38" spans="1:23" s="4" customFormat="1" ht="38.25" customHeight="1">
      <c r="A38" s="43"/>
      <c r="B38" s="45" t="s">
        <v>44</v>
      </c>
      <c r="C38" s="5">
        <f>'Dec 2023'!H38</f>
        <v>26533.85</v>
      </c>
      <c r="D38" s="5">
        <f t="shared" ref="D38:U38" si="10">SUM(D34:D37)</f>
        <v>715.3</v>
      </c>
      <c r="E38" s="5">
        <f t="shared" si="10"/>
        <v>7189.33</v>
      </c>
      <c r="F38" s="5">
        <f t="shared" si="10"/>
        <v>0</v>
      </c>
      <c r="G38" s="5">
        <f t="shared" si="10"/>
        <v>2.72</v>
      </c>
      <c r="H38" s="5">
        <f t="shared" si="10"/>
        <v>27249.149999999994</v>
      </c>
      <c r="I38" s="5">
        <f>'Dec 2023'!N38</f>
        <v>208.11</v>
      </c>
      <c r="J38" s="5">
        <f t="shared" si="10"/>
        <v>0.12</v>
      </c>
      <c r="K38" s="5">
        <f t="shared" si="10"/>
        <v>9.0699999999999985</v>
      </c>
      <c r="L38" s="5">
        <f t="shared" si="10"/>
        <v>0</v>
      </c>
      <c r="M38" s="5">
        <f t="shared" si="10"/>
        <v>0</v>
      </c>
      <c r="N38" s="5">
        <f t="shared" si="10"/>
        <v>208.23000000000002</v>
      </c>
      <c r="O38" s="5">
        <f>'Dec 2023'!T38</f>
        <v>202.94</v>
      </c>
      <c r="P38" s="5">
        <f t="shared" si="10"/>
        <v>0</v>
      </c>
      <c r="Q38" s="5">
        <f t="shared" si="10"/>
        <v>0</v>
      </c>
      <c r="R38" s="5">
        <f t="shared" si="10"/>
        <v>0</v>
      </c>
      <c r="S38" s="5">
        <f t="shared" si="10"/>
        <v>0</v>
      </c>
      <c r="T38" s="5">
        <f t="shared" si="10"/>
        <v>202.94</v>
      </c>
      <c r="U38" s="5">
        <f t="shared" si="10"/>
        <v>27660.319999999996</v>
      </c>
    </row>
    <row r="39" spans="1:23" s="4" customFormat="1" ht="38.25" customHeight="1">
      <c r="A39" s="43"/>
      <c r="B39" s="45" t="s">
        <v>45</v>
      </c>
      <c r="C39" s="5">
        <f>'Dec 2023'!H39</f>
        <v>49855.726800000004</v>
      </c>
      <c r="D39" s="5">
        <f t="shared" ref="D39:U39" si="11">D38+D33+D28</f>
        <v>747.05</v>
      </c>
      <c r="E39" s="5">
        <f t="shared" si="11"/>
        <v>7579.3360000000002</v>
      </c>
      <c r="F39" s="5">
        <f t="shared" si="11"/>
        <v>0</v>
      </c>
      <c r="G39" s="5">
        <f t="shared" si="11"/>
        <v>12.47</v>
      </c>
      <c r="H39" s="5">
        <f t="shared" si="11"/>
        <v>50602.7768</v>
      </c>
      <c r="I39" s="5">
        <f>'Dec 2023'!N39</f>
        <v>1573.944</v>
      </c>
      <c r="J39" s="5">
        <f t="shared" si="11"/>
        <v>3.85</v>
      </c>
      <c r="K39" s="5">
        <f t="shared" si="11"/>
        <v>101.94299999999998</v>
      </c>
      <c r="L39" s="5">
        <f t="shared" si="11"/>
        <v>0</v>
      </c>
      <c r="M39" s="5">
        <f t="shared" si="11"/>
        <v>0.02</v>
      </c>
      <c r="N39" s="5">
        <f t="shared" si="11"/>
        <v>1577.7939999999999</v>
      </c>
      <c r="O39" s="5">
        <f>'Dec 2023'!T39</f>
        <v>394.23199999999997</v>
      </c>
      <c r="P39" s="5">
        <f t="shared" si="11"/>
        <v>3.2</v>
      </c>
      <c r="Q39" s="5">
        <f t="shared" si="11"/>
        <v>4.1500000000000004</v>
      </c>
      <c r="R39" s="5">
        <f t="shared" si="11"/>
        <v>0</v>
      </c>
      <c r="S39" s="5">
        <f t="shared" si="11"/>
        <v>0</v>
      </c>
      <c r="T39" s="5">
        <f t="shared" si="11"/>
        <v>397.43199999999996</v>
      </c>
      <c r="U39" s="5">
        <f t="shared" si="11"/>
        <v>52578.002800000009</v>
      </c>
    </row>
    <row r="40" spans="1:23" ht="38.25" customHeight="1">
      <c r="A40" s="44">
        <v>25</v>
      </c>
      <c r="B40" s="46" t="s">
        <v>46</v>
      </c>
      <c r="C40" s="3">
        <f>'Dec 2023'!H40</f>
        <v>14045.433999999996</v>
      </c>
      <c r="D40" s="3">
        <f>14.88+232.46</f>
        <v>247.34</v>
      </c>
      <c r="E40" s="3">
        <f>'Dec 2023'!E40+'Jan 2024'!D40</f>
        <v>2435.1500000000005</v>
      </c>
      <c r="F40" s="3">
        <v>0</v>
      </c>
      <c r="G40" s="3">
        <f>'Dec 2023'!G40+'Jan 2024'!F40</f>
        <v>0</v>
      </c>
      <c r="H40" s="3">
        <f t="shared" si="0"/>
        <v>14292.773999999996</v>
      </c>
      <c r="I40" s="3">
        <f>'Dec 2023'!N40</f>
        <v>198.73</v>
      </c>
      <c r="J40" s="3">
        <v>0</v>
      </c>
      <c r="K40" s="3">
        <f>'Dec 2023'!K40+'Jan 2024'!J40</f>
        <v>0</v>
      </c>
      <c r="L40" s="3">
        <v>0</v>
      </c>
      <c r="M40" s="3">
        <f>'Dec 2023'!M40+'Jan 2024'!L40</f>
        <v>0</v>
      </c>
      <c r="N40" s="3">
        <f t="shared" si="1"/>
        <v>198.73</v>
      </c>
      <c r="O40" s="3">
        <f>'Dec 2023'!T40</f>
        <v>106.93</v>
      </c>
      <c r="P40" s="3">
        <v>0</v>
      </c>
      <c r="Q40" s="3">
        <f>'Dec 2023'!Q40+'Jan 2024'!P40</f>
        <v>0</v>
      </c>
      <c r="R40" s="3">
        <v>0</v>
      </c>
      <c r="S40" s="3">
        <f>'Dec 2023'!S40+'Jan 2024'!R40</f>
        <v>0</v>
      </c>
      <c r="T40" s="3">
        <f t="shared" si="2"/>
        <v>106.93</v>
      </c>
      <c r="U40" s="3">
        <f>H40+N40+T40</f>
        <v>14598.433999999996</v>
      </c>
    </row>
    <row r="41" spans="1:23" ht="38.25" customHeight="1">
      <c r="A41" s="44">
        <v>26</v>
      </c>
      <c r="B41" s="46" t="s">
        <v>47</v>
      </c>
      <c r="C41" s="3">
        <f>'Dec 2023'!H41</f>
        <v>8977.0889999999927</v>
      </c>
      <c r="D41" s="3">
        <f>7.06+43.81</f>
        <v>50.870000000000005</v>
      </c>
      <c r="E41" s="3">
        <f>'Dec 2023'!E41+'Jan 2024'!D41</f>
        <v>580.56000000000006</v>
      </c>
      <c r="F41" s="3">
        <v>0</v>
      </c>
      <c r="G41" s="3">
        <f>'Dec 2023'!G41+'Jan 2024'!F41</f>
        <v>0</v>
      </c>
      <c r="H41" s="3">
        <f t="shared" si="0"/>
        <v>9027.9589999999935</v>
      </c>
      <c r="I41" s="3">
        <f>'Dec 2023'!N41</f>
        <v>8.67</v>
      </c>
      <c r="J41" s="3">
        <v>0</v>
      </c>
      <c r="K41" s="3">
        <f>'Dec 2023'!K41+'Jan 2024'!J41</f>
        <v>0</v>
      </c>
      <c r="L41" s="3">
        <v>0</v>
      </c>
      <c r="M41" s="3">
        <f>'Dec 2023'!M41+'Jan 2024'!L41</f>
        <v>0</v>
      </c>
      <c r="N41" s="3">
        <f t="shared" si="1"/>
        <v>8.67</v>
      </c>
      <c r="O41" s="3">
        <f>'Dec 2023'!T41</f>
        <v>141.29000000000002</v>
      </c>
      <c r="P41" s="3">
        <v>0</v>
      </c>
      <c r="Q41" s="3">
        <f>'Dec 2023'!Q41+'Jan 2024'!P41</f>
        <v>0</v>
      </c>
      <c r="R41" s="3">
        <v>0</v>
      </c>
      <c r="S41" s="3">
        <f>'Dec 2023'!S41+'Jan 2024'!R41</f>
        <v>0</v>
      </c>
      <c r="T41" s="3">
        <f t="shared" si="2"/>
        <v>141.29000000000002</v>
      </c>
      <c r="U41" s="3">
        <f>H41+N41+T41</f>
        <v>9177.9189999999944</v>
      </c>
    </row>
    <row r="42" spans="1:23" s="4" customFormat="1" ht="38.25" customHeight="1">
      <c r="A42" s="44">
        <v>27</v>
      </c>
      <c r="B42" s="46" t="s">
        <v>48</v>
      </c>
      <c r="C42" s="3">
        <f>'Dec 2023'!H42</f>
        <v>16507.311999999994</v>
      </c>
      <c r="D42" s="3">
        <f>20.51+266.11</f>
        <v>286.62</v>
      </c>
      <c r="E42" s="3">
        <f>'Dec 2023'!E42+'Jan 2024'!D42</f>
        <v>2840.2590000000005</v>
      </c>
      <c r="F42" s="3">
        <v>0</v>
      </c>
      <c r="G42" s="3">
        <f>'Dec 2023'!G42+'Jan 2024'!F42</f>
        <v>0</v>
      </c>
      <c r="H42" s="3">
        <f t="shared" si="0"/>
        <v>16793.931999999993</v>
      </c>
      <c r="I42" s="3">
        <f>'Dec 2023'!N42</f>
        <v>15.62</v>
      </c>
      <c r="J42" s="3">
        <v>0</v>
      </c>
      <c r="K42" s="3">
        <f>'Dec 2023'!K42+'Jan 2024'!J42</f>
        <v>0</v>
      </c>
      <c r="L42" s="3">
        <v>0</v>
      </c>
      <c r="M42" s="3">
        <f>'Dec 2023'!M42+'Jan 2024'!L42</f>
        <v>0</v>
      </c>
      <c r="N42" s="3">
        <f t="shared" si="1"/>
        <v>15.62</v>
      </c>
      <c r="O42" s="3">
        <f>'Dec 2023'!T42</f>
        <v>205.35</v>
      </c>
      <c r="P42" s="3">
        <v>0</v>
      </c>
      <c r="Q42" s="3">
        <f>'Dec 2023'!Q42+'Jan 2024'!P42</f>
        <v>0</v>
      </c>
      <c r="R42" s="3">
        <v>0</v>
      </c>
      <c r="S42" s="3">
        <f>'Dec 2023'!S42+'Jan 2024'!R42</f>
        <v>0</v>
      </c>
      <c r="T42" s="3">
        <f t="shared" si="2"/>
        <v>205.35</v>
      </c>
      <c r="U42" s="3">
        <f>H42+N42+T42</f>
        <v>17014.901999999991</v>
      </c>
    </row>
    <row r="43" spans="1:23" ht="38.25" customHeight="1">
      <c r="A43" s="44">
        <v>28</v>
      </c>
      <c r="B43" s="46" t="s">
        <v>49</v>
      </c>
      <c r="C43" s="3">
        <f>'Dec 2023'!H43</f>
        <v>4708.6800000000012</v>
      </c>
      <c r="D43" s="3">
        <f>2.96+39.35</f>
        <v>42.31</v>
      </c>
      <c r="E43" s="3">
        <f>'Dec 2023'!E43+'Jan 2024'!D43</f>
        <v>549.03</v>
      </c>
      <c r="F43" s="3">
        <v>0</v>
      </c>
      <c r="G43" s="3">
        <f>'Dec 2023'!G43+'Jan 2024'!F43</f>
        <v>0</v>
      </c>
      <c r="H43" s="3">
        <f t="shared" si="0"/>
        <v>4750.9900000000016</v>
      </c>
      <c r="I43" s="3">
        <f>'Dec 2023'!N43</f>
        <v>3.5</v>
      </c>
      <c r="J43" s="3">
        <v>0</v>
      </c>
      <c r="K43" s="3">
        <f>'Dec 2023'!K43+'Jan 2024'!J43</f>
        <v>0</v>
      </c>
      <c r="L43" s="3">
        <v>0</v>
      </c>
      <c r="M43" s="3">
        <f>'Dec 2023'!M43+'Jan 2024'!L43</f>
        <v>0</v>
      </c>
      <c r="N43" s="3">
        <f t="shared" si="1"/>
        <v>3.5</v>
      </c>
      <c r="O43" s="3">
        <f>'Dec 2023'!T43</f>
        <v>29.8</v>
      </c>
      <c r="P43" s="3">
        <v>0</v>
      </c>
      <c r="Q43" s="3">
        <f>'Dec 2023'!Q43+'Jan 2024'!P43</f>
        <v>0</v>
      </c>
      <c r="R43" s="3">
        <v>0</v>
      </c>
      <c r="S43" s="3">
        <f>'Dec 2023'!S43+'Jan 2024'!R43</f>
        <v>0</v>
      </c>
      <c r="T43" s="3">
        <f t="shared" si="2"/>
        <v>29.8</v>
      </c>
      <c r="U43" s="3">
        <f>H43+N43+T43</f>
        <v>4784.2900000000018</v>
      </c>
    </row>
    <row r="44" spans="1:23" s="4" customFormat="1" ht="38.25" customHeight="1">
      <c r="A44" s="43"/>
      <c r="B44" s="45" t="s">
        <v>50</v>
      </c>
      <c r="C44" s="5">
        <f>'Dec 2023'!H44</f>
        <v>44238.514999999978</v>
      </c>
      <c r="D44" s="5">
        <f t="shared" ref="D44:U44" si="12">SUM(D40:D43)</f>
        <v>627.1400000000001</v>
      </c>
      <c r="E44" s="5">
        <f t="shared" si="12"/>
        <v>6404.9990000000007</v>
      </c>
      <c r="F44" s="5">
        <f t="shared" si="12"/>
        <v>0</v>
      </c>
      <c r="G44" s="5">
        <f t="shared" si="12"/>
        <v>0</v>
      </c>
      <c r="H44" s="5">
        <f t="shared" si="12"/>
        <v>44865.654999999984</v>
      </c>
      <c r="I44" s="5">
        <f>'Dec 2023'!N44</f>
        <v>226.51999999999998</v>
      </c>
      <c r="J44" s="5">
        <f t="shared" si="12"/>
        <v>0</v>
      </c>
      <c r="K44" s="5">
        <f t="shared" si="12"/>
        <v>0</v>
      </c>
      <c r="L44" s="5">
        <f t="shared" si="12"/>
        <v>0</v>
      </c>
      <c r="M44" s="5">
        <f t="shared" si="12"/>
        <v>0</v>
      </c>
      <c r="N44" s="5">
        <f t="shared" si="12"/>
        <v>226.51999999999998</v>
      </c>
      <c r="O44" s="5">
        <f>'Dec 2023'!T44</f>
        <v>483.37000000000006</v>
      </c>
      <c r="P44" s="5">
        <f t="shared" si="12"/>
        <v>0</v>
      </c>
      <c r="Q44" s="5">
        <f t="shared" si="12"/>
        <v>0</v>
      </c>
      <c r="R44" s="5">
        <f t="shared" si="12"/>
        <v>0</v>
      </c>
      <c r="S44" s="5">
        <f t="shared" si="12"/>
        <v>0</v>
      </c>
      <c r="T44" s="5">
        <f t="shared" si="12"/>
        <v>483.37000000000006</v>
      </c>
      <c r="U44" s="5">
        <f t="shared" si="12"/>
        <v>45575.544999999976</v>
      </c>
    </row>
    <row r="45" spans="1:23" ht="38.25" customHeight="1">
      <c r="A45" s="44">
        <v>29</v>
      </c>
      <c r="B45" s="46" t="s">
        <v>51</v>
      </c>
      <c r="C45" s="3">
        <f>'Dec 2023'!H45</f>
        <v>8499.1620999999977</v>
      </c>
      <c r="D45" s="3">
        <v>10.25</v>
      </c>
      <c r="E45" s="3">
        <f>'Dec 2023'!E45+'Jan 2024'!D45</f>
        <v>145.6</v>
      </c>
      <c r="F45" s="3">
        <v>0</v>
      </c>
      <c r="G45" s="3">
        <f>'Dec 2023'!G45+'Jan 2024'!F45</f>
        <v>0</v>
      </c>
      <c r="H45" s="3">
        <f t="shared" si="0"/>
        <v>8509.4120999999977</v>
      </c>
      <c r="I45" s="3">
        <f>'Dec 2023'!N45</f>
        <v>261.96999999999997</v>
      </c>
      <c r="J45" s="3">
        <v>0.05</v>
      </c>
      <c r="K45" s="3">
        <f>'Dec 2023'!K45+'Jan 2024'!J45</f>
        <v>0.97</v>
      </c>
      <c r="L45" s="3">
        <v>0</v>
      </c>
      <c r="M45" s="3">
        <f>'Dec 2023'!M45+'Jan 2024'!L45</f>
        <v>0</v>
      </c>
      <c r="N45" s="3">
        <f t="shared" si="1"/>
        <v>262.02</v>
      </c>
      <c r="O45" s="3">
        <f>'Dec 2023'!T45</f>
        <v>84.53</v>
      </c>
      <c r="P45" s="3">
        <v>0</v>
      </c>
      <c r="Q45" s="3">
        <f>'Dec 2023'!Q45+'Jan 2024'!P45</f>
        <v>0.14000000000000001</v>
      </c>
      <c r="R45" s="3">
        <v>0</v>
      </c>
      <c r="S45" s="3">
        <f>'Dec 2023'!S45+'Jan 2024'!R45</f>
        <v>0</v>
      </c>
      <c r="T45" s="3">
        <f t="shared" si="2"/>
        <v>84.53</v>
      </c>
      <c r="U45" s="3">
        <f>H45+N45+T45</f>
        <v>8855.9620999999988</v>
      </c>
    </row>
    <row r="46" spans="1:23" ht="38.25" customHeight="1">
      <c r="A46" s="44">
        <v>30</v>
      </c>
      <c r="B46" s="46" t="s">
        <v>52</v>
      </c>
      <c r="C46" s="3">
        <f>'Dec 2023'!H46</f>
        <v>8147.2450000000017</v>
      </c>
      <c r="D46" s="3">
        <v>4.58</v>
      </c>
      <c r="E46" s="3">
        <f>'Dec 2023'!E46+'Jan 2024'!D46</f>
        <v>204.59</v>
      </c>
      <c r="F46" s="3">
        <v>0</v>
      </c>
      <c r="G46" s="3">
        <f>'Dec 2023'!G46+'Jan 2024'!F46</f>
        <v>0</v>
      </c>
      <c r="H46" s="3">
        <f t="shared" si="0"/>
        <v>8151.8250000000016</v>
      </c>
      <c r="I46" s="3">
        <f>'Dec 2023'!N46</f>
        <v>0</v>
      </c>
      <c r="J46" s="3">
        <v>0</v>
      </c>
      <c r="K46" s="3">
        <f>'Dec 2023'!K46+'Jan 2024'!J46</f>
        <v>0</v>
      </c>
      <c r="L46" s="3">
        <v>0</v>
      </c>
      <c r="M46" s="3">
        <f>'Dec 2023'!M46+'Jan 2024'!L46</f>
        <v>0</v>
      </c>
      <c r="N46" s="3">
        <f t="shared" si="1"/>
        <v>0</v>
      </c>
      <c r="O46" s="3">
        <f>'Dec 2023'!T46</f>
        <v>52.53</v>
      </c>
      <c r="P46" s="3">
        <v>0</v>
      </c>
      <c r="Q46" s="3">
        <f>'Dec 2023'!Q46+'Jan 2024'!P46</f>
        <v>5.5</v>
      </c>
      <c r="R46" s="3">
        <v>0</v>
      </c>
      <c r="S46" s="3">
        <f>'Dec 2023'!S46+'Jan 2024'!R46</f>
        <v>0</v>
      </c>
      <c r="T46" s="3">
        <f t="shared" si="2"/>
        <v>52.53</v>
      </c>
      <c r="U46" s="3">
        <f>H46+N46+T46</f>
        <v>8204.3550000000014</v>
      </c>
    </row>
    <row r="47" spans="1:23" s="4" customFormat="1" ht="38.25" customHeight="1">
      <c r="A47" s="44">
        <v>31</v>
      </c>
      <c r="B47" s="46" t="s">
        <v>53</v>
      </c>
      <c r="C47" s="3">
        <f>'Dec 2023'!H47</f>
        <v>9410.8599999999951</v>
      </c>
      <c r="D47" s="3">
        <v>5.63</v>
      </c>
      <c r="E47" s="3">
        <f>'Dec 2023'!E47+'Jan 2024'!D47</f>
        <v>338.78999999999991</v>
      </c>
      <c r="F47" s="3">
        <v>0</v>
      </c>
      <c r="G47" s="3">
        <f>'Dec 2023'!G47+'Jan 2024'!F47</f>
        <v>0</v>
      </c>
      <c r="H47" s="3">
        <f t="shared" si="0"/>
        <v>9416.4899999999943</v>
      </c>
      <c r="I47" s="3">
        <f>'Dec 2023'!N47</f>
        <v>3.13</v>
      </c>
      <c r="J47" s="3">
        <v>0</v>
      </c>
      <c r="K47" s="3">
        <f>'Dec 2023'!K47+'Jan 2024'!J47</f>
        <v>0</v>
      </c>
      <c r="L47" s="3">
        <v>0</v>
      </c>
      <c r="M47" s="3">
        <f>'Dec 2023'!M47+'Jan 2024'!L47</f>
        <v>0</v>
      </c>
      <c r="N47" s="3">
        <f t="shared" si="1"/>
        <v>3.13</v>
      </c>
      <c r="O47" s="3">
        <f>'Dec 2023'!T47</f>
        <v>118.94999999999999</v>
      </c>
      <c r="P47" s="3">
        <v>0</v>
      </c>
      <c r="Q47" s="3">
        <f>'Dec 2023'!Q47+'Jan 2024'!P47</f>
        <v>0</v>
      </c>
      <c r="R47" s="3">
        <v>0</v>
      </c>
      <c r="S47" s="3">
        <f>'Dec 2023'!S47+'Jan 2024'!R47</f>
        <v>0</v>
      </c>
      <c r="T47" s="3">
        <f t="shared" si="2"/>
        <v>118.94999999999999</v>
      </c>
      <c r="U47" s="3">
        <f>H47+N47+T47</f>
        <v>9538.5699999999943</v>
      </c>
    </row>
    <row r="48" spans="1:23" s="4" customFormat="1" ht="38.25" customHeight="1">
      <c r="A48" s="44">
        <v>32</v>
      </c>
      <c r="B48" s="46" t="s">
        <v>54</v>
      </c>
      <c r="C48" s="3">
        <f>'Dec 2023'!H48</f>
        <v>8660.6489999999976</v>
      </c>
      <c r="D48" s="3">
        <v>1.35</v>
      </c>
      <c r="E48" s="3">
        <f>'Dec 2023'!E48+'Jan 2024'!D48</f>
        <v>56.050000000000004</v>
      </c>
      <c r="F48" s="3">
        <v>0</v>
      </c>
      <c r="G48" s="3">
        <f>'Dec 2023'!G48+'Jan 2024'!F48</f>
        <v>0</v>
      </c>
      <c r="H48" s="3">
        <f t="shared" si="0"/>
        <v>8661.998999999998</v>
      </c>
      <c r="I48" s="3">
        <f>'Dec 2023'!N48</f>
        <v>5.0249999999999995</v>
      </c>
      <c r="J48" s="3">
        <v>0</v>
      </c>
      <c r="K48" s="3">
        <f>'Dec 2023'!K48+'Jan 2024'!J48</f>
        <v>0</v>
      </c>
      <c r="L48" s="3">
        <v>0</v>
      </c>
      <c r="M48" s="3">
        <f>'Dec 2023'!M48+'Jan 2024'!L48</f>
        <v>0</v>
      </c>
      <c r="N48" s="3">
        <f t="shared" si="1"/>
        <v>5.0249999999999995</v>
      </c>
      <c r="O48" s="3">
        <f>'Dec 2023'!T48</f>
        <v>4.21</v>
      </c>
      <c r="P48" s="3">
        <v>0</v>
      </c>
      <c r="Q48" s="3">
        <f>'Dec 2023'!Q48+'Jan 2024'!P48</f>
        <v>0</v>
      </c>
      <c r="R48" s="3">
        <v>0</v>
      </c>
      <c r="S48" s="3">
        <f>'Dec 2023'!S48+'Jan 2024'!R48</f>
        <v>0</v>
      </c>
      <c r="T48" s="3">
        <f t="shared" si="2"/>
        <v>4.21</v>
      </c>
      <c r="U48" s="3">
        <f>H48+N48+T48</f>
        <v>8671.2339999999967</v>
      </c>
    </row>
    <row r="49" spans="1:23" s="4" customFormat="1" ht="38.25" customHeight="1">
      <c r="A49" s="43"/>
      <c r="B49" s="45" t="s">
        <v>55</v>
      </c>
      <c r="C49" s="5">
        <f>'Dec 2023'!H49</f>
        <v>34717.916099999995</v>
      </c>
      <c r="D49" s="5">
        <f t="shared" ref="D49:U49" si="13">SUM(D45:D48)</f>
        <v>21.810000000000002</v>
      </c>
      <c r="E49" s="5">
        <f t="shared" si="13"/>
        <v>745.02999999999986</v>
      </c>
      <c r="F49" s="5">
        <f t="shared" si="13"/>
        <v>0</v>
      </c>
      <c r="G49" s="5">
        <f t="shared" si="13"/>
        <v>0</v>
      </c>
      <c r="H49" s="5">
        <f t="shared" si="13"/>
        <v>34739.726099999993</v>
      </c>
      <c r="I49" s="5">
        <f>'Dec 2023'!N49</f>
        <v>270.12499999999994</v>
      </c>
      <c r="J49" s="5">
        <f t="shared" si="13"/>
        <v>0.05</v>
      </c>
      <c r="K49" s="5">
        <f t="shared" si="13"/>
        <v>0.97</v>
      </c>
      <c r="L49" s="5">
        <f t="shared" si="13"/>
        <v>0</v>
      </c>
      <c r="M49" s="5">
        <f t="shared" si="13"/>
        <v>0</v>
      </c>
      <c r="N49" s="5">
        <f t="shared" si="13"/>
        <v>270.17499999999995</v>
      </c>
      <c r="O49" s="5">
        <f>'Dec 2023'!T49</f>
        <v>260.21999999999997</v>
      </c>
      <c r="P49" s="5">
        <f t="shared" si="13"/>
        <v>0</v>
      </c>
      <c r="Q49" s="5">
        <f t="shared" si="13"/>
        <v>5.64</v>
      </c>
      <c r="R49" s="5">
        <f t="shared" si="13"/>
        <v>0</v>
      </c>
      <c r="S49" s="5">
        <f t="shared" si="13"/>
        <v>0</v>
      </c>
      <c r="T49" s="5">
        <f t="shared" si="13"/>
        <v>260.21999999999997</v>
      </c>
      <c r="U49" s="5">
        <f t="shared" si="13"/>
        <v>35270.121099999989</v>
      </c>
    </row>
    <row r="50" spans="1:23" s="4" customFormat="1" ht="38.25" customHeight="1">
      <c r="A50" s="43"/>
      <c r="B50" s="45" t="s">
        <v>56</v>
      </c>
      <c r="C50" s="5">
        <f>'Dec 2023'!H50</f>
        <v>78956.431099999973</v>
      </c>
      <c r="D50" s="5">
        <f t="shared" ref="D50:U50" si="14">D49+D44</f>
        <v>648.95000000000005</v>
      </c>
      <c r="E50" s="5">
        <f t="shared" si="14"/>
        <v>7150.0290000000005</v>
      </c>
      <c r="F50" s="5">
        <f t="shared" si="14"/>
        <v>0</v>
      </c>
      <c r="G50" s="5">
        <f t="shared" si="14"/>
        <v>0</v>
      </c>
      <c r="H50" s="5">
        <f t="shared" si="14"/>
        <v>79605.38109999997</v>
      </c>
      <c r="I50" s="5">
        <f>'Dec 2023'!N50</f>
        <v>496.64499999999992</v>
      </c>
      <c r="J50" s="5">
        <f t="shared" si="14"/>
        <v>0.05</v>
      </c>
      <c r="K50" s="5">
        <f t="shared" si="14"/>
        <v>0.97</v>
      </c>
      <c r="L50" s="5">
        <f t="shared" si="14"/>
        <v>0</v>
      </c>
      <c r="M50" s="5">
        <f t="shared" si="14"/>
        <v>0</v>
      </c>
      <c r="N50" s="5">
        <f t="shared" si="14"/>
        <v>496.69499999999994</v>
      </c>
      <c r="O50" s="5">
        <f>'Dec 2023'!T50</f>
        <v>743.59</v>
      </c>
      <c r="P50" s="5">
        <f t="shared" si="14"/>
        <v>0</v>
      </c>
      <c r="Q50" s="5">
        <f t="shared" si="14"/>
        <v>5.64</v>
      </c>
      <c r="R50" s="5">
        <f t="shared" si="14"/>
        <v>0</v>
      </c>
      <c r="S50" s="5">
        <f t="shared" si="14"/>
        <v>0</v>
      </c>
      <c r="T50" s="5">
        <f t="shared" si="14"/>
        <v>743.59</v>
      </c>
      <c r="U50" s="5">
        <f t="shared" si="14"/>
        <v>80845.666099999973</v>
      </c>
    </row>
    <row r="51" spans="1:23" s="4" customFormat="1" ht="38.25" customHeight="1">
      <c r="A51" s="43"/>
      <c r="B51" s="45" t="s">
        <v>57</v>
      </c>
      <c r="C51" s="5">
        <f>'Dec 2023'!H51</f>
        <v>132763.11389999997</v>
      </c>
      <c r="D51" s="5">
        <f t="shared" ref="D51:U51" si="15">D50+D39+D25</f>
        <v>1399.52</v>
      </c>
      <c r="E51" s="5">
        <f t="shared" si="15"/>
        <v>14785.675000000001</v>
      </c>
      <c r="F51" s="5">
        <f t="shared" si="15"/>
        <v>0</v>
      </c>
      <c r="G51" s="5">
        <f t="shared" si="15"/>
        <v>59.16</v>
      </c>
      <c r="H51" s="26">
        <f t="shared" si="15"/>
        <v>134162.63389999996</v>
      </c>
      <c r="I51" s="5">
        <f>'Dec 2023'!N51</f>
        <v>11349.097000000002</v>
      </c>
      <c r="J51" s="5">
        <f t="shared" si="15"/>
        <v>31.34</v>
      </c>
      <c r="K51" s="5">
        <f t="shared" si="15"/>
        <v>478.471</v>
      </c>
      <c r="L51" s="5">
        <f t="shared" si="15"/>
        <v>0</v>
      </c>
      <c r="M51" s="5">
        <f t="shared" si="15"/>
        <v>6.92</v>
      </c>
      <c r="N51" s="26">
        <f t="shared" si="15"/>
        <v>11380.437</v>
      </c>
      <c r="O51" s="5">
        <f>'Dec 2023'!T51</f>
        <v>1549.0000000000002</v>
      </c>
      <c r="P51" s="5">
        <f t="shared" si="15"/>
        <v>3.2</v>
      </c>
      <c r="Q51" s="5">
        <f t="shared" si="15"/>
        <v>11.2</v>
      </c>
      <c r="R51" s="5">
        <f t="shared" si="15"/>
        <v>0</v>
      </c>
      <c r="S51" s="5">
        <f t="shared" si="15"/>
        <v>136.24</v>
      </c>
      <c r="T51" s="26">
        <f t="shared" si="15"/>
        <v>1552.2</v>
      </c>
      <c r="U51" s="5">
        <f t="shared" si="15"/>
        <v>147095.2709</v>
      </c>
    </row>
    <row r="52" spans="1:23" s="49" customFormat="1" ht="63.75" customHeight="1">
      <c r="A52" s="94" t="s">
        <v>73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3" s="9" customFormat="1" ht="24.75" customHeight="1">
      <c r="B53" s="11"/>
      <c r="C53" s="88" t="s">
        <v>58</v>
      </c>
      <c r="D53" s="88"/>
      <c r="E53" s="88"/>
      <c r="F53" s="88"/>
      <c r="G53" s="88"/>
      <c r="H53" s="12"/>
      <c r="I53" s="47"/>
      <c r="J53" s="47">
        <f>D51+J51+P51-F51-L51-R51</f>
        <v>1434.06</v>
      </c>
      <c r="K53" s="47"/>
      <c r="L53" s="47"/>
      <c r="M53" s="47"/>
      <c r="N53" s="47"/>
      <c r="R53" s="47"/>
      <c r="U53" s="47"/>
    </row>
    <row r="54" spans="1:23" s="9" customFormat="1" ht="30" customHeight="1">
      <c r="B54" s="11"/>
      <c r="C54" s="88" t="s">
        <v>59</v>
      </c>
      <c r="D54" s="88"/>
      <c r="E54" s="88"/>
      <c r="F54" s="88"/>
      <c r="G54" s="88"/>
      <c r="H54" s="13"/>
      <c r="I54" s="47"/>
      <c r="J54" s="47">
        <f>E51+K51+Q51-G51-M51-S51</f>
        <v>15073.026000000002</v>
      </c>
      <c r="K54" s="47"/>
      <c r="L54" s="47"/>
      <c r="M54" s="47"/>
      <c r="N54" s="47"/>
      <c r="R54" s="47"/>
      <c r="T54" s="47"/>
    </row>
    <row r="55" spans="1:23" ht="44.25" customHeight="1">
      <c r="C55" s="88" t="s">
        <v>60</v>
      </c>
      <c r="D55" s="88"/>
      <c r="E55" s="88"/>
      <c r="F55" s="88"/>
      <c r="G55" s="88"/>
      <c r="H55" s="13"/>
      <c r="I55" s="15"/>
      <c r="J55" s="11">
        <f>H51+N51+T51</f>
        <v>147095.27089999997</v>
      </c>
      <c r="K55" s="13"/>
      <c r="L55" s="13"/>
      <c r="M55" s="16"/>
      <c r="N55" s="13"/>
      <c r="P55" s="9"/>
      <c r="Q55" s="17"/>
      <c r="U55" s="17"/>
    </row>
    <row r="56" spans="1:23" ht="24" customHeight="1">
      <c r="C56" s="50"/>
      <c r="D56" s="50"/>
      <c r="E56" s="50"/>
      <c r="F56" s="50"/>
      <c r="G56" s="50"/>
      <c r="H56" s="13"/>
      <c r="I56" s="15"/>
      <c r="J56" s="11"/>
      <c r="K56" s="13"/>
      <c r="L56" s="13"/>
      <c r="M56" s="16"/>
      <c r="N56" s="13"/>
      <c r="P56" s="9"/>
      <c r="Q56" s="17"/>
      <c r="S56" s="51"/>
      <c r="U56" s="17"/>
    </row>
    <row r="57" spans="1:23" s="52" customFormat="1" ht="44.25" customHeight="1">
      <c r="B57" s="93" t="s">
        <v>74</v>
      </c>
      <c r="C57" s="93"/>
      <c r="D57" s="93"/>
      <c r="E57" s="93"/>
      <c r="F57" s="93"/>
      <c r="H57" s="53"/>
      <c r="I57" s="54" t="e">
        <f>#REF!+'[3]dec 2023'!H53</f>
        <v>#REF!</v>
      </c>
      <c r="J57" s="53"/>
      <c r="K57" s="55"/>
      <c r="L57" s="55"/>
      <c r="M57" s="56">
        <f>'[4]March 2022'!H55+'[3]dec 2023'!H53</f>
        <v>0</v>
      </c>
      <c r="Q57" s="93" t="s">
        <v>75</v>
      </c>
      <c r="R57" s="93"/>
      <c r="S57" s="93"/>
      <c r="T57" s="93"/>
      <c r="U57" s="93"/>
    </row>
    <row r="58" spans="1:23" s="52" customFormat="1" ht="29.25" customHeight="1">
      <c r="B58" s="93" t="s">
        <v>76</v>
      </c>
      <c r="C58" s="93"/>
      <c r="D58" s="93"/>
      <c r="E58" s="93"/>
      <c r="F58" s="93"/>
      <c r="G58" s="57"/>
      <c r="H58" s="58">
        <f>'[5]feb 2021'!H55+'[3]dec 2023'!H53</f>
        <v>0</v>
      </c>
      <c r="I58" s="57"/>
      <c r="J58" s="59"/>
      <c r="K58" s="55"/>
      <c r="L58" s="55"/>
      <c r="M58" s="55"/>
      <c r="Q58" s="93" t="s">
        <v>76</v>
      </c>
      <c r="R58" s="93"/>
      <c r="S58" s="93"/>
      <c r="T58" s="93"/>
      <c r="U58" s="93"/>
    </row>
    <row r="59" spans="1:23" s="52" customFormat="1" ht="27.75">
      <c r="B59" s="60"/>
      <c r="F59" s="61"/>
      <c r="I59" s="57"/>
      <c r="J59" s="61"/>
      <c r="Q59" s="62"/>
      <c r="R59" s="62"/>
      <c r="S59" s="10"/>
      <c r="T59" s="62"/>
      <c r="U59" s="62"/>
      <c r="V59" s="62"/>
      <c r="W59" s="62"/>
    </row>
    <row r="60" spans="1:23" s="52" customFormat="1" ht="39" customHeight="1">
      <c r="B60" s="60"/>
      <c r="G60" s="58">
        <f>'[5]May 2020'!H53+'[3]dec 2023'!H53</f>
        <v>0</v>
      </c>
      <c r="J60" s="92" t="s">
        <v>77</v>
      </c>
      <c r="K60" s="92"/>
      <c r="L60" s="92"/>
      <c r="O60" s="62"/>
      <c r="S60" s="61"/>
      <c r="U60" s="62"/>
      <c r="V60" s="62"/>
      <c r="W60" s="62"/>
    </row>
    <row r="61" spans="1:23" s="52" customFormat="1" ht="30.75" customHeight="1">
      <c r="B61" s="60"/>
      <c r="H61" s="53"/>
      <c r="J61" s="92" t="s">
        <v>78</v>
      </c>
      <c r="K61" s="92"/>
      <c r="L61" s="92"/>
      <c r="O61" s="62"/>
      <c r="S61" s="61"/>
      <c r="U61" s="62"/>
      <c r="V61" s="62"/>
      <c r="W61" s="62"/>
    </row>
  </sheetData>
  <mergeCells count="32">
    <mergeCell ref="C53:G53"/>
    <mergeCell ref="C54:G54"/>
    <mergeCell ref="C55:G55"/>
    <mergeCell ref="W29:W32"/>
    <mergeCell ref="A52:U52"/>
    <mergeCell ref="H5:H6"/>
    <mergeCell ref="I5:I6"/>
    <mergeCell ref="J5:K5"/>
    <mergeCell ref="L5:M5"/>
    <mergeCell ref="N5:N6"/>
    <mergeCell ref="W20:W2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O5:O6"/>
    <mergeCell ref="P5:Q5"/>
    <mergeCell ref="R5:S5"/>
    <mergeCell ref="T5:T6"/>
    <mergeCell ref="U5:U6"/>
    <mergeCell ref="J61:L61"/>
    <mergeCell ref="B57:F57"/>
    <mergeCell ref="Q57:U57"/>
    <mergeCell ref="B58:F58"/>
    <mergeCell ref="Q58:U58"/>
    <mergeCell ref="J60:L60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opLeftCell="D37" zoomScale="39" zoomScaleNormal="39" workbookViewId="0">
      <selection activeCell="F12" sqref="F12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6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36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64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63" t="s">
        <v>11</v>
      </c>
      <c r="E6" s="63" t="s">
        <v>12</v>
      </c>
      <c r="F6" s="63" t="s">
        <v>11</v>
      </c>
      <c r="G6" s="63" t="s">
        <v>12</v>
      </c>
      <c r="H6" s="82"/>
      <c r="I6" s="85"/>
      <c r="J6" s="63" t="s">
        <v>11</v>
      </c>
      <c r="K6" s="63" t="s">
        <v>12</v>
      </c>
      <c r="L6" s="63" t="s">
        <v>11</v>
      </c>
      <c r="M6" s="63" t="s">
        <v>12</v>
      </c>
      <c r="N6" s="82"/>
      <c r="O6" s="85"/>
      <c r="P6" s="63" t="s">
        <v>11</v>
      </c>
      <c r="Q6" s="63" t="s">
        <v>12</v>
      </c>
      <c r="R6" s="63" t="s">
        <v>11</v>
      </c>
      <c r="S6" s="63" t="s">
        <v>12</v>
      </c>
      <c r="T6" s="82"/>
      <c r="U6" s="82"/>
    </row>
    <row r="7" spans="1:22" ht="38.25" customHeight="1">
      <c r="A7" s="64">
        <v>1</v>
      </c>
      <c r="B7" s="73" t="s">
        <v>13</v>
      </c>
      <c r="C7" s="3">
        <f>'Jan 2024'!H7</f>
        <v>7.179999999999982</v>
      </c>
      <c r="D7" s="3">
        <v>0</v>
      </c>
      <c r="E7" s="3">
        <f>'Jan 2024'!E7+'feb 2024'!D7</f>
        <v>0</v>
      </c>
      <c r="F7" s="3">
        <v>0</v>
      </c>
      <c r="G7" s="3">
        <f>'Jan 2024'!G7+'feb 2024'!F7</f>
        <v>0</v>
      </c>
      <c r="H7" s="3">
        <f>C7+D7-F7</f>
        <v>7.179999999999982</v>
      </c>
      <c r="I7" s="3">
        <f>'Jan 2024'!N7</f>
        <v>731.78199999999981</v>
      </c>
      <c r="J7" s="3">
        <v>1.8</v>
      </c>
      <c r="K7" s="3">
        <f>'Jan 2024'!K7+'feb 2024'!J7</f>
        <v>19.125000000000004</v>
      </c>
      <c r="L7" s="3">
        <v>0</v>
      </c>
      <c r="M7" s="3">
        <f>'Jan 2024'!M7+'feb 2024'!L7</f>
        <v>0</v>
      </c>
      <c r="N7" s="3">
        <f>I7+J7-L7</f>
        <v>733.58199999999977</v>
      </c>
      <c r="O7" s="3">
        <f>'Jan 2024'!T7</f>
        <v>8.436000000000007</v>
      </c>
      <c r="P7" s="3">
        <v>0</v>
      </c>
      <c r="Q7" s="3">
        <f>'Jan 2024'!Q7+'feb 2024'!P7</f>
        <v>0</v>
      </c>
      <c r="R7" s="3">
        <v>0</v>
      </c>
      <c r="S7" s="3">
        <f>'Jan 2024'!S7+'feb 2024'!R7</f>
        <v>0</v>
      </c>
      <c r="T7" s="3">
        <f>O7+P7-R7</f>
        <v>8.436000000000007</v>
      </c>
      <c r="U7" s="3">
        <f>H7+N7+T7</f>
        <v>749.19799999999975</v>
      </c>
    </row>
    <row r="8" spans="1:22" ht="38.25" customHeight="1">
      <c r="A8" s="64">
        <v>2</v>
      </c>
      <c r="B8" s="73" t="s">
        <v>14</v>
      </c>
      <c r="C8" s="3">
        <f>'Jan 2024'!H8</f>
        <v>265.98999999999995</v>
      </c>
      <c r="D8" s="3">
        <v>0</v>
      </c>
      <c r="E8" s="3">
        <f>'Jan 2024'!E8+'feb 2024'!D8</f>
        <v>0</v>
      </c>
      <c r="F8" s="3">
        <v>0</v>
      </c>
      <c r="G8" s="3">
        <f>'Jan 2024'!G8+'feb 2024'!F8</f>
        <v>0</v>
      </c>
      <c r="H8" s="3">
        <f>C8+D8-F8</f>
        <v>265.98999999999995</v>
      </c>
      <c r="I8" s="3">
        <f>'Jan 2024'!N8</f>
        <v>495.74100000000016</v>
      </c>
      <c r="J8" s="3">
        <v>9.8699999999999992</v>
      </c>
      <c r="K8" s="3">
        <f>'Jan 2024'!K8+'feb 2024'!J8</f>
        <v>107.465</v>
      </c>
      <c r="L8" s="3">
        <v>0</v>
      </c>
      <c r="M8" s="3">
        <f>'Jan 2024'!M8+'feb 2024'!L8</f>
        <v>0</v>
      </c>
      <c r="N8" s="3">
        <f>I8+J8-L8</f>
        <v>505.61100000000016</v>
      </c>
      <c r="O8" s="3">
        <f>'Jan 2024'!T8</f>
        <v>66.290000000000006</v>
      </c>
      <c r="P8" s="3">
        <v>0</v>
      </c>
      <c r="Q8" s="3">
        <f>'Jan 2024'!Q8+'feb 2024'!P8</f>
        <v>0</v>
      </c>
      <c r="R8" s="3">
        <v>0</v>
      </c>
      <c r="S8" s="3">
        <f>'Jan 2024'!S8+'feb 2024'!R8</f>
        <v>0</v>
      </c>
      <c r="T8" s="3">
        <f>O8+P8-R8</f>
        <v>66.290000000000006</v>
      </c>
      <c r="U8" s="3">
        <f>H8+N8+T8</f>
        <v>837.89100000000008</v>
      </c>
    </row>
    <row r="9" spans="1:22" ht="38.25" customHeight="1">
      <c r="A9" s="64">
        <v>3</v>
      </c>
      <c r="B9" s="73" t="s">
        <v>15</v>
      </c>
      <c r="C9" s="3">
        <f>'Jan 2024'!H9</f>
        <v>209.16</v>
      </c>
      <c r="D9" s="3">
        <v>0</v>
      </c>
      <c r="E9" s="3">
        <f>'Jan 2024'!E9+'feb 2024'!D9</f>
        <v>0</v>
      </c>
      <c r="F9" s="3">
        <v>0</v>
      </c>
      <c r="G9" s="3">
        <f>'Jan 2024'!G9+'feb 2024'!F9</f>
        <v>0</v>
      </c>
      <c r="H9" s="3">
        <f>C9+D9-F9</f>
        <v>209.16</v>
      </c>
      <c r="I9" s="3">
        <f>'Jan 2024'!N9</f>
        <v>960.39799999999991</v>
      </c>
      <c r="J9" s="3">
        <v>3.71</v>
      </c>
      <c r="K9" s="3">
        <f>'Jan 2024'!K9+'feb 2024'!J9</f>
        <v>61.149999999999991</v>
      </c>
      <c r="L9" s="3">
        <v>0</v>
      </c>
      <c r="M9" s="3">
        <f>'Jan 2024'!M9+'feb 2024'!L9</f>
        <v>0.28999999999999998</v>
      </c>
      <c r="N9" s="3">
        <f>I9+J9-L9</f>
        <v>964.10799999999995</v>
      </c>
      <c r="O9" s="3">
        <f>'Jan 2024'!T9</f>
        <v>44.739999999999995</v>
      </c>
      <c r="P9" s="3">
        <v>0</v>
      </c>
      <c r="Q9" s="3">
        <f>'Jan 2024'!Q9+'feb 2024'!P9</f>
        <v>0</v>
      </c>
      <c r="R9" s="3">
        <v>0</v>
      </c>
      <c r="S9" s="3">
        <f>'Jan 2024'!S9+'feb 2024'!R9</f>
        <v>0</v>
      </c>
      <c r="T9" s="3">
        <f>O9+P9-R9</f>
        <v>44.739999999999995</v>
      </c>
      <c r="U9" s="3">
        <f>H9+N9+T9</f>
        <v>1218.008</v>
      </c>
    </row>
    <row r="10" spans="1:22" s="4" customFormat="1" ht="38.25" customHeight="1">
      <c r="A10" s="64">
        <v>4</v>
      </c>
      <c r="B10" s="73" t="s">
        <v>16</v>
      </c>
      <c r="C10" s="3">
        <f>'Jan 2024'!H10</f>
        <v>0</v>
      </c>
      <c r="D10" s="3">
        <v>0</v>
      </c>
      <c r="E10" s="3">
        <f>'Jan 2024'!E10+'feb 2024'!D10</f>
        <v>0</v>
      </c>
      <c r="F10" s="3">
        <v>0</v>
      </c>
      <c r="G10" s="3">
        <f>'Jan 2024'!G10+'feb 2024'!F10</f>
        <v>0</v>
      </c>
      <c r="H10" s="3">
        <f>C10+D10-F10</f>
        <v>0</v>
      </c>
      <c r="I10" s="3">
        <f>'Jan 2024'!N10</f>
        <v>374.97599999999983</v>
      </c>
      <c r="J10" s="3">
        <v>0.3</v>
      </c>
      <c r="K10" s="3">
        <f>'Jan 2024'!K10+'feb 2024'!J10</f>
        <v>10.303000000000001</v>
      </c>
      <c r="L10" s="3">
        <v>0</v>
      </c>
      <c r="M10" s="3">
        <f>'Jan 2024'!M10+'feb 2024'!L10</f>
        <v>0</v>
      </c>
      <c r="N10" s="3">
        <f>I10+J10-L10</f>
        <v>375.27599999999984</v>
      </c>
      <c r="O10" s="3">
        <f>'Jan 2024'!T10</f>
        <v>0.20000000000000007</v>
      </c>
      <c r="P10" s="3">
        <v>0</v>
      </c>
      <c r="Q10" s="3">
        <f>'Jan 2024'!Q10+'feb 2024'!P10</f>
        <v>0</v>
      </c>
      <c r="R10" s="3">
        <v>0</v>
      </c>
      <c r="S10" s="3">
        <f>'Jan 2024'!S10+'feb 2024'!R10</f>
        <v>0</v>
      </c>
      <c r="T10" s="3">
        <f>O10+P10-R10</f>
        <v>0.20000000000000007</v>
      </c>
      <c r="U10" s="3">
        <f>H10+N10+T10</f>
        <v>375.47599999999983</v>
      </c>
    </row>
    <row r="11" spans="1:22" s="4" customFormat="1" ht="38.25" customHeight="1">
      <c r="A11" s="63"/>
      <c r="B11" s="72" t="s">
        <v>17</v>
      </c>
      <c r="C11" s="5">
        <f t="shared" ref="C11:U11" si="0">SUM(C7:C10)</f>
        <v>482.32999999999993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482.32999999999993</v>
      </c>
      <c r="I11" s="5">
        <f t="shared" si="0"/>
        <v>2562.8969999999995</v>
      </c>
      <c r="J11" s="5">
        <f t="shared" si="0"/>
        <v>15.68</v>
      </c>
      <c r="K11" s="5">
        <f t="shared" si="0"/>
        <v>198.04300000000001</v>
      </c>
      <c r="L11" s="5">
        <f t="shared" si="0"/>
        <v>0</v>
      </c>
      <c r="M11" s="5">
        <f t="shared" si="0"/>
        <v>0.28999999999999998</v>
      </c>
      <c r="N11" s="5">
        <f t="shared" si="0"/>
        <v>2578.5769999999998</v>
      </c>
      <c r="O11" s="5">
        <f t="shared" si="0"/>
        <v>119.66600000000001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119.66600000000001</v>
      </c>
      <c r="U11" s="5">
        <f t="shared" si="0"/>
        <v>3180.5729999999994</v>
      </c>
      <c r="V11" s="65"/>
    </row>
    <row r="12" spans="1:22" ht="38.25" customHeight="1">
      <c r="A12" s="64">
        <v>5</v>
      </c>
      <c r="B12" s="73" t="s">
        <v>18</v>
      </c>
      <c r="C12" s="3">
        <f>'Jan 2024'!H12</f>
        <v>22.179999999999609</v>
      </c>
      <c r="D12" s="3">
        <v>0</v>
      </c>
      <c r="E12" s="3">
        <f>'Jan 2024'!E12+'feb 2024'!D12</f>
        <v>0</v>
      </c>
      <c r="F12" s="3">
        <v>0</v>
      </c>
      <c r="G12" s="3">
        <f>'Jan 2024'!G12+'feb 2024'!F12</f>
        <v>0</v>
      </c>
      <c r="H12" s="3">
        <f>C12+D12-F12</f>
        <v>22.179999999999609</v>
      </c>
      <c r="I12" s="3">
        <f>'Jan 2024'!N12</f>
        <v>1300.5649999999998</v>
      </c>
      <c r="J12" s="25">
        <v>1.73</v>
      </c>
      <c r="K12" s="3">
        <f>'Jan 2024'!K12+'feb 2024'!J12</f>
        <v>25.86</v>
      </c>
      <c r="L12" s="3">
        <v>0</v>
      </c>
      <c r="M12" s="3">
        <f>'Jan 2024'!M12+'feb 2024'!L12</f>
        <v>0</v>
      </c>
      <c r="N12" s="3">
        <f>I12+J12-L12</f>
        <v>1302.2949999999998</v>
      </c>
      <c r="O12" s="3">
        <f>'Jan 2024'!T12</f>
        <v>1.9700000000000095</v>
      </c>
      <c r="P12" s="3">
        <v>0</v>
      </c>
      <c r="Q12" s="3">
        <f>'Jan 2024'!Q12+'feb 2024'!P12</f>
        <v>0</v>
      </c>
      <c r="R12" s="3">
        <v>0</v>
      </c>
      <c r="S12" s="3">
        <f>'Jan 2024'!S12+'feb 2024'!R12</f>
        <v>0</v>
      </c>
      <c r="T12" s="3">
        <f>O12+P12-R12</f>
        <v>1.9700000000000095</v>
      </c>
      <c r="U12" s="3">
        <f>H12+N12+T12</f>
        <v>1326.4449999999995</v>
      </c>
    </row>
    <row r="13" spans="1:22" ht="38.25" customHeight="1">
      <c r="A13" s="64">
        <v>6</v>
      </c>
      <c r="B13" s="73" t="s">
        <v>19</v>
      </c>
      <c r="C13" s="3">
        <f>'Jan 2024'!H13</f>
        <v>312.23000000000013</v>
      </c>
      <c r="D13" s="3">
        <v>0</v>
      </c>
      <c r="E13" s="3">
        <f>'Jan 2024'!E13+'feb 2024'!D13</f>
        <v>0</v>
      </c>
      <c r="F13" s="3">
        <v>0</v>
      </c>
      <c r="G13" s="3">
        <f>'Jan 2024'!G13+'feb 2024'!F13</f>
        <v>0</v>
      </c>
      <c r="H13" s="3">
        <f>C13+D13-F13</f>
        <v>312.23000000000013</v>
      </c>
      <c r="I13" s="3">
        <f>'Jan 2024'!N13</f>
        <v>562.56200000000013</v>
      </c>
      <c r="J13" s="25">
        <v>2.14</v>
      </c>
      <c r="K13" s="3">
        <f>'Jan 2024'!K13+'feb 2024'!J13</f>
        <v>19.170000000000002</v>
      </c>
      <c r="L13" s="3">
        <v>0</v>
      </c>
      <c r="M13" s="3">
        <f>'Jan 2024'!M13+'feb 2024'!L13</f>
        <v>0</v>
      </c>
      <c r="N13" s="3">
        <f>I13+J13-L13</f>
        <v>564.70200000000011</v>
      </c>
      <c r="O13" s="3">
        <f>'Jan 2024'!T13</f>
        <v>68.39</v>
      </c>
      <c r="P13" s="3">
        <v>0</v>
      </c>
      <c r="Q13" s="3">
        <f>'Jan 2024'!Q13+'feb 2024'!P13</f>
        <v>0</v>
      </c>
      <c r="R13" s="3">
        <v>0</v>
      </c>
      <c r="S13" s="3">
        <f>'Jan 2024'!S13+'feb 2024'!R13</f>
        <v>0</v>
      </c>
      <c r="T13" s="3">
        <f>O13+P13-R13</f>
        <v>68.39</v>
      </c>
      <c r="U13" s="3">
        <f>H13+N13+T13</f>
        <v>945.32200000000023</v>
      </c>
    </row>
    <row r="14" spans="1:22" s="4" customFormat="1" ht="38.25" customHeight="1">
      <c r="A14" s="64">
        <v>7</v>
      </c>
      <c r="B14" s="73" t="s">
        <v>20</v>
      </c>
      <c r="C14" s="3">
        <f>'Jan 2024'!H14</f>
        <v>1211.4399999999994</v>
      </c>
      <c r="D14" s="3">
        <v>0</v>
      </c>
      <c r="E14" s="3">
        <f>'Jan 2024'!E14+'feb 2024'!D14</f>
        <v>0</v>
      </c>
      <c r="F14" s="3">
        <v>0</v>
      </c>
      <c r="G14" s="3">
        <f>'Jan 2024'!G14+'feb 2024'!F14</f>
        <v>5</v>
      </c>
      <c r="H14" s="3">
        <f>C14+D14-F14</f>
        <v>1211.4399999999994</v>
      </c>
      <c r="I14" s="3">
        <f>'Jan 2024'!N14</f>
        <v>946.3580000000004</v>
      </c>
      <c r="J14" s="25">
        <v>2.42</v>
      </c>
      <c r="K14" s="3">
        <f>'Jan 2024'!K14+'feb 2024'!J14</f>
        <v>45.28</v>
      </c>
      <c r="L14" s="3">
        <v>0</v>
      </c>
      <c r="M14" s="3">
        <f>'Jan 2024'!M14+'feb 2024'!L14</f>
        <v>0</v>
      </c>
      <c r="N14" s="3">
        <f>I14+J14-L14</f>
        <v>948.77800000000036</v>
      </c>
      <c r="O14" s="3">
        <f>'Jan 2024'!T14</f>
        <v>61.329999999999991</v>
      </c>
      <c r="P14" s="3">
        <v>0</v>
      </c>
      <c r="Q14" s="3">
        <f>'Jan 2024'!Q14+'feb 2024'!P14</f>
        <v>0</v>
      </c>
      <c r="R14" s="3">
        <v>0</v>
      </c>
      <c r="S14" s="3">
        <f>'Jan 2024'!S14+'feb 2024'!R14</f>
        <v>0</v>
      </c>
      <c r="T14" s="3">
        <f>O14+P14-R14</f>
        <v>61.329999999999991</v>
      </c>
      <c r="U14" s="3">
        <f>H14+N14+T14</f>
        <v>2221.5479999999998</v>
      </c>
    </row>
    <row r="15" spans="1:22" s="4" customFormat="1" ht="38.25" customHeight="1">
      <c r="A15" s="63"/>
      <c r="B15" s="72" t="s">
        <v>21</v>
      </c>
      <c r="C15" s="5">
        <f t="shared" ref="C15:U15" si="1">SUM(C12:C14)</f>
        <v>1545.849999999999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5</v>
      </c>
      <c r="H15" s="5">
        <f t="shared" si="1"/>
        <v>1545.849999999999</v>
      </c>
      <c r="I15" s="5">
        <f t="shared" si="1"/>
        <v>2809.4850000000006</v>
      </c>
      <c r="J15" s="5">
        <f t="shared" si="1"/>
        <v>6.29</v>
      </c>
      <c r="K15" s="5">
        <f t="shared" si="1"/>
        <v>90.31</v>
      </c>
      <c r="L15" s="5">
        <f t="shared" si="1"/>
        <v>0</v>
      </c>
      <c r="M15" s="5">
        <f t="shared" si="1"/>
        <v>0</v>
      </c>
      <c r="N15" s="5">
        <f t="shared" si="1"/>
        <v>2815.7750000000001</v>
      </c>
      <c r="O15" s="5">
        <f t="shared" si="1"/>
        <v>131.69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131.69</v>
      </c>
      <c r="U15" s="5">
        <f t="shared" si="1"/>
        <v>4493.3149999999996</v>
      </c>
      <c r="V15" s="65"/>
    </row>
    <row r="16" spans="1:22" ht="38.25" customHeight="1">
      <c r="A16" s="64">
        <v>8</v>
      </c>
      <c r="B16" s="73" t="s">
        <v>22</v>
      </c>
      <c r="C16" s="3">
        <f>'Jan 2024'!H16</f>
        <v>765.40400000000045</v>
      </c>
      <c r="D16" s="3">
        <v>0.81</v>
      </c>
      <c r="E16" s="3">
        <f>'Jan 2024'!E16+'feb 2024'!D16</f>
        <v>17.289999999999996</v>
      </c>
      <c r="F16" s="3">
        <v>0</v>
      </c>
      <c r="G16" s="3">
        <f>'Jan 2024'!G16+'feb 2024'!F16</f>
        <v>7.24</v>
      </c>
      <c r="H16" s="3">
        <f>C16+D16-F16</f>
        <v>766.2140000000004</v>
      </c>
      <c r="I16" s="3">
        <f>'Jan 2024'!N16</f>
        <v>591.44600000000025</v>
      </c>
      <c r="J16" s="3">
        <v>1.29</v>
      </c>
      <c r="K16" s="3">
        <f>'Jan 2024'!K16+'feb 2024'!J16</f>
        <v>15.760000000000002</v>
      </c>
      <c r="L16" s="3">
        <v>0</v>
      </c>
      <c r="M16" s="3">
        <f>'Jan 2024'!M16+'feb 2024'!L16</f>
        <v>0</v>
      </c>
      <c r="N16" s="3">
        <f>I16+J16-L16</f>
        <v>592.73600000000022</v>
      </c>
      <c r="O16" s="3">
        <f>'Jan 2024'!T16</f>
        <v>59.262000000000043</v>
      </c>
      <c r="P16" s="3">
        <v>0</v>
      </c>
      <c r="Q16" s="3">
        <f>'Jan 2024'!Q16+'feb 2024'!P16</f>
        <v>0.19</v>
      </c>
      <c r="R16" s="3">
        <v>0</v>
      </c>
      <c r="S16" s="3">
        <f>'Jan 2024'!S16+'feb 2024'!R16</f>
        <v>118.37</v>
      </c>
      <c r="T16" s="3">
        <f>O16+P16-R16</f>
        <v>59.262000000000043</v>
      </c>
      <c r="U16" s="3">
        <f>H16+N16+T16</f>
        <v>1418.2120000000007</v>
      </c>
    </row>
    <row r="17" spans="1:23" ht="61.5" customHeight="1">
      <c r="A17" s="64">
        <v>9</v>
      </c>
      <c r="B17" s="73" t="s">
        <v>23</v>
      </c>
      <c r="C17" s="3">
        <f>'Jan 2024'!H17</f>
        <v>0.19599999999994777</v>
      </c>
      <c r="D17" s="3">
        <v>0</v>
      </c>
      <c r="E17" s="3">
        <f>'Jan 2024'!E17+'feb 2024'!D17</f>
        <v>0.05</v>
      </c>
      <c r="F17" s="3">
        <v>0</v>
      </c>
      <c r="G17" s="3">
        <f>'Jan 2024'!G17+'feb 2024'!F17</f>
        <v>2.5299999999999998</v>
      </c>
      <c r="H17" s="3">
        <f>C17+D17-F17</f>
        <v>0.19599999999994777</v>
      </c>
      <c r="I17" s="3">
        <f>'Jan 2024'!N17</f>
        <v>612.47</v>
      </c>
      <c r="J17" s="3">
        <v>1.03</v>
      </c>
      <c r="K17" s="3">
        <f>'Jan 2024'!K17+'feb 2024'!J17</f>
        <v>24.81</v>
      </c>
      <c r="L17" s="3">
        <v>0</v>
      </c>
      <c r="M17" s="3">
        <f>'Jan 2024'!M17+'feb 2024'!L17</f>
        <v>0.43</v>
      </c>
      <c r="N17" s="3">
        <f>I17+J17-L17</f>
        <v>613.5</v>
      </c>
      <c r="O17" s="3">
        <f>'Jan 2024'!T17</f>
        <v>1.5399999999999998</v>
      </c>
      <c r="P17" s="3">
        <v>0</v>
      </c>
      <c r="Q17" s="3">
        <f>'Jan 2024'!Q17+'feb 2024'!P17</f>
        <v>1.22</v>
      </c>
      <c r="R17" s="3">
        <v>0</v>
      </c>
      <c r="S17" s="3">
        <f>'Jan 2024'!S17+'feb 2024'!R17</f>
        <v>1.63</v>
      </c>
      <c r="T17" s="3">
        <f>O17+P17-R17</f>
        <v>1.5399999999999998</v>
      </c>
      <c r="U17" s="3">
        <f>H17+N17+T17</f>
        <v>615.23599999999988</v>
      </c>
    </row>
    <row r="18" spans="1:23" s="4" customFormat="1" ht="38.25" customHeight="1">
      <c r="A18" s="64">
        <v>10</v>
      </c>
      <c r="B18" s="73" t="s">
        <v>24</v>
      </c>
      <c r="C18" s="3">
        <f>'Jan 2024'!H18</f>
        <v>90.266000000000147</v>
      </c>
      <c r="D18" s="3">
        <v>0</v>
      </c>
      <c r="E18" s="3">
        <f>'Jan 2024'!E18+'feb 2024'!D18</f>
        <v>0.05</v>
      </c>
      <c r="F18" s="3">
        <v>0</v>
      </c>
      <c r="G18" s="3">
        <f>'Jan 2024'!G18+'feb 2024'!F18</f>
        <v>0.05</v>
      </c>
      <c r="H18" s="3">
        <f>C18+D18-F18</f>
        <v>90.266000000000147</v>
      </c>
      <c r="I18" s="3">
        <f>'Jan 2024'!N18</f>
        <v>625.24000000000012</v>
      </c>
      <c r="J18" s="3">
        <v>0.61</v>
      </c>
      <c r="K18" s="3">
        <f>'Jan 2024'!K18+'feb 2024'!J18</f>
        <v>14.694999999999999</v>
      </c>
      <c r="L18" s="3">
        <v>0</v>
      </c>
      <c r="M18" s="3">
        <f>'Jan 2024'!M18+'feb 2024'!L18</f>
        <v>6.1400000000000006</v>
      </c>
      <c r="N18" s="3">
        <f>I18+J18-L18</f>
        <v>625.85000000000014</v>
      </c>
      <c r="O18" s="3">
        <f>'Jan 2024'!T18</f>
        <v>35.689999999999991</v>
      </c>
      <c r="P18" s="3">
        <v>0</v>
      </c>
      <c r="Q18" s="3">
        <f>'Jan 2024'!Q18+'feb 2024'!P18</f>
        <v>0</v>
      </c>
      <c r="R18" s="3">
        <v>0</v>
      </c>
      <c r="S18" s="3">
        <f>'Jan 2024'!S18+'feb 2024'!R18</f>
        <v>0</v>
      </c>
      <c r="T18" s="3">
        <f>O18+P18-R18</f>
        <v>35.689999999999991</v>
      </c>
      <c r="U18" s="3">
        <f>H18+N18+T18</f>
        <v>751.80600000000027</v>
      </c>
    </row>
    <row r="19" spans="1:23" s="4" customFormat="1" ht="38.25" customHeight="1">
      <c r="A19" s="63"/>
      <c r="B19" s="72" t="s">
        <v>25</v>
      </c>
      <c r="C19" s="5">
        <f t="shared" ref="C19:U19" si="2">SUM(C16:C18)</f>
        <v>855.86600000000055</v>
      </c>
      <c r="D19" s="5">
        <f t="shared" si="2"/>
        <v>0.81</v>
      </c>
      <c r="E19" s="5">
        <f t="shared" si="2"/>
        <v>17.389999999999997</v>
      </c>
      <c r="F19" s="5">
        <f t="shared" si="2"/>
        <v>0</v>
      </c>
      <c r="G19" s="5">
        <f t="shared" si="2"/>
        <v>9.82</v>
      </c>
      <c r="H19" s="5">
        <f t="shared" si="2"/>
        <v>856.6760000000005</v>
      </c>
      <c r="I19" s="5">
        <f t="shared" si="2"/>
        <v>1829.1560000000004</v>
      </c>
      <c r="J19" s="5">
        <f t="shared" si="2"/>
        <v>2.93</v>
      </c>
      <c r="K19" s="5">
        <f t="shared" si="2"/>
        <v>55.265000000000001</v>
      </c>
      <c r="L19" s="5">
        <f t="shared" si="2"/>
        <v>0</v>
      </c>
      <c r="M19" s="5">
        <f t="shared" si="2"/>
        <v>6.57</v>
      </c>
      <c r="N19" s="5">
        <f t="shared" si="2"/>
        <v>1832.0860000000005</v>
      </c>
      <c r="O19" s="5">
        <f t="shared" si="2"/>
        <v>96.492000000000033</v>
      </c>
      <c r="P19" s="5">
        <f t="shared" si="2"/>
        <v>0</v>
      </c>
      <c r="Q19" s="5">
        <f t="shared" si="2"/>
        <v>1.41</v>
      </c>
      <c r="R19" s="5">
        <f t="shared" si="2"/>
        <v>0</v>
      </c>
      <c r="S19" s="5">
        <f t="shared" si="2"/>
        <v>120</v>
      </c>
      <c r="T19" s="5">
        <f t="shared" si="2"/>
        <v>96.492000000000033</v>
      </c>
      <c r="U19" s="5">
        <f t="shared" si="2"/>
        <v>2785.2540000000008</v>
      </c>
    </row>
    <row r="20" spans="1:23" ht="38.25" customHeight="1">
      <c r="A20" s="64">
        <v>11</v>
      </c>
      <c r="B20" s="73" t="s">
        <v>26</v>
      </c>
      <c r="C20" s="3">
        <f>'Jan 2024'!H20</f>
        <v>607.42999999999984</v>
      </c>
      <c r="D20" s="3">
        <v>0</v>
      </c>
      <c r="E20" s="3">
        <f>'Jan 2024'!E20+'feb 2024'!D20</f>
        <v>0</v>
      </c>
      <c r="F20" s="3">
        <v>0</v>
      </c>
      <c r="G20" s="3">
        <f>'Jan 2024'!G20+'feb 2024'!F20</f>
        <v>0</v>
      </c>
      <c r="H20" s="3">
        <f>C20+D20-F20</f>
        <v>607.42999999999984</v>
      </c>
      <c r="I20" s="3">
        <f>'Jan 2024'!N20</f>
        <v>778.68800000000022</v>
      </c>
      <c r="J20" s="3">
        <v>5.62</v>
      </c>
      <c r="K20" s="3">
        <f>'Jan 2024'!K20+'feb 2024'!J20</f>
        <v>35.92</v>
      </c>
      <c r="L20" s="3">
        <v>0</v>
      </c>
      <c r="M20" s="3">
        <f>'Jan 2024'!M20+'feb 2024'!L20</f>
        <v>0.02</v>
      </c>
      <c r="N20" s="3">
        <f>I20+J20-L20</f>
        <v>784.30800000000022</v>
      </c>
      <c r="O20" s="3">
        <f>'Jan 2024'!T20</f>
        <v>37.580000000000005</v>
      </c>
      <c r="P20" s="3">
        <v>0</v>
      </c>
      <c r="Q20" s="3">
        <f>'Jan 2024'!Q20+'feb 2024'!P20</f>
        <v>0</v>
      </c>
      <c r="R20" s="3">
        <v>0</v>
      </c>
      <c r="S20" s="3">
        <f>'Jan 2024'!S20+'feb 2024'!R20</f>
        <v>0</v>
      </c>
      <c r="T20" s="3">
        <f>O20+P20-R20</f>
        <v>37.580000000000005</v>
      </c>
      <c r="U20" s="3">
        <f>H20+N20+T20</f>
        <v>1429.318</v>
      </c>
      <c r="W20" s="90"/>
    </row>
    <row r="21" spans="1:23" ht="38.25" customHeight="1">
      <c r="A21" s="64">
        <v>12</v>
      </c>
      <c r="B21" s="73" t="s">
        <v>27</v>
      </c>
      <c r="C21" s="3">
        <f>'Jan 2024'!H21</f>
        <v>1.2000000000000002</v>
      </c>
      <c r="D21" s="3">
        <v>0</v>
      </c>
      <c r="E21" s="3">
        <f>'Jan 2024'!E21+'feb 2024'!D21</f>
        <v>0</v>
      </c>
      <c r="F21" s="3">
        <v>0</v>
      </c>
      <c r="G21" s="3">
        <f>'Jan 2024'!G21+'feb 2024'!F21</f>
        <v>0.87</v>
      </c>
      <c r="H21" s="3">
        <f>C21+D21-F21</f>
        <v>1.2000000000000002</v>
      </c>
      <c r="I21" s="3">
        <f>'Jan 2024'!N21</f>
        <v>472.14700000000016</v>
      </c>
      <c r="J21" s="3">
        <v>0.82</v>
      </c>
      <c r="K21" s="3">
        <f>'Jan 2024'!K21+'feb 2024'!J21</f>
        <v>11.560000000000002</v>
      </c>
      <c r="L21" s="3">
        <v>0</v>
      </c>
      <c r="M21" s="3">
        <f>'Jan 2024'!M21+'feb 2024'!L21</f>
        <v>0.02</v>
      </c>
      <c r="N21" s="3">
        <f>I21+J21-L21</f>
        <v>472.96700000000016</v>
      </c>
      <c r="O21" s="3">
        <f>'Jan 2024'!T21</f>
        <v>2.649999999999995</v>
      </c>
      <c r="P21" s="3">
        <v>0</v>
      </c>
      <c r="Q21" s="3">
        <f>'Jan 2024'!Q21+'feb 2024'!P21</f>
        <v>0</v>
      </c>
      <c r="R21" s="3">
        <v>0</v>
      </c>
      <c r="S21" s="3">
        <f>'Jan 2024'!S21+'feb 2024'!R21</f>
        <v>16.239999999999998</v>
      </c>
      <c r="T21" s="3">
        <f>O21+P21-R21</f>
        <v>2.649999999999995</v>
      </c>
      <c r="U21" s="3">
        <f>H21+N21+T21</f>
        <v>476.81700000000012</v>
      </c>
      <c r="W21" s="90"/>
    </row>
    <row r="22" spans="1:23" s="4" customFormat="1" ht="38.25" customHeight="1">
      <c r="A22" s="64">
        <v>13</v>
      </c>
      <c r="B22" s="73" t="s">
        <v>28</v>
      </c>
      <c r="C22" s="3">
        <f>'Jan 2024'!H22</f>
        <v>22.430000000000021</v>
      </c>
      <c r="D22" s="3">
        <v>0</v>
      </c>
      <c r="E22" s="3">
        <f>'Jan 2024'!E22+'feb 2024'!D22</f>
        <v>0</v>
      </c>
      <c r="F22" s="3">
        <v>0</v>
      </c>
      <c r="G22" s="3">
        <f>'Jan 2024'!G22+'feb 2024'!F22</f>
        <v>0</v>
      </c>
      <c r="H22" s="3">
        <f>C22+D22-F22</f>
        <v>22.430000000000021</v>
      </c>
      <c r="I22" s="3">
        <f>'Jan 2024'!N22</f>
        <v>703.37</v>
      </c>
      <c r="J22" s="3">
        <v>0.23</v>
      </c>
      <c r="K22" s="3">
        <f>'Jan 2024'!K22+'feb 2024'!J22</f>
        <v>5.3800000000000008</v>
      </c>
      <c r="L22" s="3">
        <v>0</v>
      </c>
      <c r="M22" s="3">
        <f>'Jan 2024'!M22+'feb 2024'!L22</f>
        <v>0</v>
      </c>
      <c r="N22" s="3">
        <f>I22+J22-L22</f>
        <v>703.6</v>
      </c>
      <c r="O22" s="3">
        <f>'Jan 2024'!T22</f>
        <v>0.60000000000000098</v>
      </c>
      <c r="P22" s="3">
        <v>0</v>
      </c>
      <c r="Q22" s="3">
        <f>'Jan 2024'!Q22+'feb 2024'!P22</f>
        <v>0</v>
      </c>
      <c r="R22" s="3">
        <v>0</v>
      </c>
      <c r="S22" s="3">
        <f>'Jan 2024'!S22+'feb 2024'!R22</f>
        <v>0</v>
      </c>
      <c r="T22" s="3">
        <f>O22+P22-R22</f>
        <v>0.60000000000000098</v>
      </c>
      <c r="U22" s="3">
        <f>H22+N22+T22</f>
        <v>726.63000000000011</v>
      </c>
      <c r="W22" s="90"/>
    </row>
    <row r="23" spans="1:23" s="4" customFormat="1" ht="38.25" customHeight="1">
      <c r="A23" s="64">
        <v>14</v>
      </c>
      <c r="B23" s="73" t="s">
        <v>29</v>
      </c>
      <c r="C23" s="3">
        <f>'Jan 2024'!H23</f>
        <v>439.36999999999995</v>
      </c>
      <c r="D23" s="3">
        <v>0</v>
      </c>
      <c r="E23" s="3">
        <f>'Jan 2024'!E23+'feb 2024'!D23</f>
        <v>39.730000000000004</v>
      </c>
      <c r="F23" s="3">
        <v>0</v>
      </c>
      <c r="G23" s="3">
        <f>'Jan 2024'!G23+'feb 2024'!F23</f>
        <v>31</v>
      </c>
      <c r="H23" s="3">
        <f>C23+D23-F23</f>
        <v>439.36999999999995</v>
      </c>
      <c r="I23" s="3">
        <f>'Jan 2024'!N23</f>
        <v>150.20499999999998</v>
      </c>
      <c r="J23" s="3">
        <v>2.66</v>
      </c>
      <c r="K23" s="3">
        <f>'Jan 2024'!K23+'feb 2024'!J23</f>
        <v>13.31</v>
      </c>
      <c r="L23" s="3">
        <v>0</v>
      </c>
      <c r="M23" s="3">
        <f>'Jan 2024'!M23+'feb 2024'!L23</f>
        <v>0</v>
      </c>
      <c r="N23" s="3">
        <f>I23+J23-L23</f>
        <v>152.86499999999998</v>
      </c>
      <c r="O23" s="3">
        <f>'Jan 2024'!T23</f>
        <v>22.5</v>
      </c>
      <c r="P23" s="3">
        <v>0</v>
      </c>
      <c r="Q23" s="3">
        <f>'Jan 2024'!Q23+'feb 2024'!P23</f>
        <v>0</v>
      </c>
      <c r="R23" s="3">
        <v>0</v>
      </c>
      <c r="S23" s="3">
        <f>'Jan 2024'!S23+'feb 2024'!R23</f>
        <v>0</v>
      </c>
      <c r="T23" s="3">
        <f>O23+P23-R23</f>
        <v>22.5</v>
      </c>
      <c r="U23" s="3">
        <f>H23+N23+T23</f>
        <v>614.7349999999999</v>
      </c>
      <c r="W23" s="90"/>
    </row>
    <row r="24" spans="1:23" s="4" customFormat="1" ht="38.25" customHeight="1">
      <c r="A24" s="63"/>
      <c r="B24" s="72" t="s">
        <v>30</v>
      </c>
      <c r="C24" s="5">
        <f t="shared" ref="C24:U24" si="3">SUM(C20:C23)</f>
        <v>1070.4299999999998</v>
      </c>
      <c r="D24" s="5">
        <f t="shared" si="3"/>
        <v>0</v>
      </c>
      <c r="E24" s="5">
        <f t="shared" si="3"/>
        <v>39.730000000000004</v>
      </c>
      <c r="F24" s="5">
        <f t="shared" si="3"/>
        <v>0</v>
      </c>
      <c r="G24" s="5">
        <f t="shared" si="3"/>
        <v>31.87</v>
      </c>
      <c r="H24" s="5">
        <f t="shared" si="3"/>
        <v>1070.4299999999998</v>
      </c>
      <c r="I24" s="5">
        <f t="shared" si="3"/>
        <v>2104.4100000000003</v>
      </c>
      <c r="J24" s="5">
        <f t="shared" si="3"/>
        <v>9.3300000000000018</v>
      </c>
      <c r="K24" s="5">
        <f t="shared" si="3"/>
        <v>66.17</v>
      </c>
      <c r="L24" s="5">
        <f t="shared" si="3"/>
        <v>0</v>
      </c>
      <c r="M24" s="5">
        <f t="shared" si="3"/>
        <v>0.04</v>
      </c>
      <c r="N24" s="5">
        <f t="shared" si="3"/>
        <v>2113.7400000000002</v>
      </c>
      <c r="O24" s="5">
        <f t="shared" si="3"/>
        <v>63.330000000000005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5">
        <f t="shared" si="3"/>
        <v>16.239999999999998</v>
      </c>
      <c r="T24" s="5">
        <f t="shared" si="3"/>
        <v>63.330000000000005</v>
      </c>
      <c r="U24" s="5">
        <f t="shared" si="3"/>
        <v>3247.5</v>
      </c>
    </row>
    <row r="25" spans="1:23" s="4" customFormat="1" ht="38.25" customHeight="1">
      <c r="A25" s="63"/>
      <c r="B25" s="72" t="s">
        <v>31</v>
      </c>
      <c r="C25" s="5">
        <f t="shared" ref="C25:U25" si="4">C24+C19+C15+C11</f>
        <v>3954.4759999999992</v>
      </c>
      <c r="D25" s="5">
        <f t="shared" si="4"/>
        <v>0.81</v>
      </c>
      <c r="E25" s="5">
        <f t="shared" si="4"/>
        <v>57.120000000000005</v>
      </c>
      <c r="F25" s="5">
        <f t="shared" si="4"/>
        <v>0</v>
      </c>
      <c r="G25" s="5">
        <f t="shared" si="4"/>
        <v>46.69</v>
      </c>
      <c r="H25" s="5">
        <f t="shared" si="4"/>
        <v>3955.2859999999991</v>
      </c>
      <c r="I25" s="5">
        <f t="shared" si="4"/>
        <v>9305.9480000000003</v>
      </c>
      <c r="J25" s="5">
        <f t="shared" si="4"/>
        <v>34.230000000000004</v>
      </c>
      <c r="K25" s="5">
        <f t="shared" si="4"/>
        <v>409.78800000000001</v>
      </c>
      <c r="L25" s="5">
        <f t="shared" si="4"/>
        <v>0</v>
      </c>
      <c r="M25" s="5">
        <f t="shared" si="4"/>
        <v>6.9</v>
      </c>
      <c r="N25" s="5">
        <f t="shared" si="4"/>
        <v>9340.1779999999999</v>
      </c>
      <c r="O25" s="5">
        <f t="shared" si="4"/>
        <v>411.17800000000005</v>
      </c>
      <c r="P25" s="5">
        <f t="shared" si="4"/>
        <v>0</v>
      </c>
      <c r="Q25" s="5">
        <f t="shared" si="4"/>
        <v>1.41</v>
      </c>
      <c r="R25" s="5">
        <f t="shared" si="4"/>
        <v>0</v>
      </c>
      <c r="S25" s="5">
        <f t="shared" si="4"/>
        <v>136.24</v>
      </c>
      <c r="T25" s="5">
        <f t="shared" si="4"/>
        <v>411.17800000000005</v>
      </c>
      <c r="U25" s="5">
        <f t="shared" si="4"/>
        <v>13706.642</v>
      </c>
    </row>
    <row r="26" spans="1:23" ht="38.25" customHeight="1">
      <c r="A26" s="64">
        <v>15</v>
      </c>
      <c r="B26" s="73" t="s">
        <v>32</v>
      </c>
      <c r="C26" s="3">
        <f>'Jan 2024'!H26</f>
        <v>1681.1800000000003</v>
      </c>
      <c r="D26" s="3">
        <v>3.27</v>
      </c>
      <c r="E26" s="3">
        <f>'Jan 2024'!E26+'feb 2024'!D26</f>
        <v>56.16</v>
      </c>
      <c r="F26" s="3">
        <v>0</v>
      </c>
      <c r="G26" s="3">
        <f>'Jan 2024'!G26+'feb 2024'!F26</f>
        <v>0</v>
      </c>
      <c r="H26" s="3">
        <f>C26+D26-F26</f>
        <v>1684.4500000000003</v>
      </c>
      <c r="I26" s="3">
        <f>'Jan 2024'!N26</f>
        <v>123.28</v>
      </c>
      <c r="J26" s="3">
        <v>0.05</v>
      </c>
      <c r="K26" s="3">
        <f>'Jan 2024'!K26+'feb 2024'!J26</f>
        <v>1.7800000000000002</v>
      </c>
      <c r="L26" s="3">
        <v>0</v>
      </c>
      <c r="M26" s="3">
        <f>'Jan 2024'!M26+'feb 2024'!L26</f>
        <v>0</v>
      </c>
      <c r="N26" s="3">
        <f>I26+J26-L26</f>
        <v>123.33</v>
      </c>
      <c r="O26" s="3">
        <f>'Jan 2024'!T26</f>
        <v>16.489999999999998</v>
      </c>
      <c r="P26" s="3">
        <v>0</v>
      </c>
      <c r="Q26" s="3">
        <f>'Jan 2024'!Q26+'feb 2024'!P26</f>
        <v>0.12</v>
      </c>
      <c r="R26" s="3">
        <v>0</v>
      </c>
      <c r="S26" s="3">
        <f>'Jan 2024'!S26+'feb 2024'!R26</f>
        <v>0</v>
      </c>
      <c r="T26" s="3">
        <f>O26+P26-R26</f>
        <v>16.489999999999998</v>
      </c>
      <c r="U26" s="3">
        <f>H26+N26+T26</f>
        <v>1824.2700000000002</v>
      </c>
    </row>
    <row r="27" spans="1:23" s="4" customFormat="1" ht="38.25" customHeight="1">
      <c r="A27" s="64">
        <v>16</v>
      </c>
      <c r="B27" s="73" t="s">
        <v>33</v>
      </c>
      <c r="C27" s="3">
        <f>'Jan 2024'!H27</f>
        <v>5752.0050000000037</v>
      </c>
      <c r="D27" s="3">
        <v>9.3699999999999992</v>
      </c>
      <c r="E27" s="3">
        <f>'Jan 2024'!E27+'feb 2024'!D27</f>
        <v>76.02000000000001</v>
      </c>
      <c r="F27" s="3">
        <v>0</v>
      </c>
      <c r="G27" s="3">
        <f>'Jan 2024'!G27+'feb 2024'!F27</f>
        <v>0.02</v>
      </c>
      <c r="H27" s="3">
        <f>C27+D27-F27</f>
        <v>5761.3750000000036</v>
      </c>
      <c r="I27" s="3">
        <f>'Jan 2024'!N27</f>
        <v>667.04799999999977</v>
      </c>
      <c r="J27" s="3">
        <v>1.41</v>
      </c>
      <c r="K27" s="3">
        <f>'Jan 2024'!K27+'feb 2024'!J27</f>
        <v>34.29999999999999</v>
      </c>
      <c r="L27" s="3">
        <v>0</v>
      </c>
      <c r="M27" s="3">
        <f>'Jan 2024'!M27+'feb 2024'!L27</f>
        <v>0.02</v>
      </c>
      <c r="N27" s="3">
        <f>I27+J27-L27</f>
        <v>668.45799999999974</v>
      </c>
      <c r="O27" s="3">
        <f>'Jan 2024'!T27</f>
        <v>37.830000000000005</v>
      </c>
      <c r="P27" s="3">
        <v>0</v>
      </c>
      <c r="Q27" s="3">
        <f>'Jan 2024'!Q27+'feb 2024'!P27</f>
        <v>4.03</v>
      </c>
      <c r="R27" s="3">
        <v>0</v>
      </c>
      <c r="S27" s="3">
        <f>'Jan 2024'!S27+'feb 2024'!R27</f>
        <v>0</v>
      </c>
      <c r="T27" s="3">
        <f>O27+P27-R27</f>
        <v>37.830000000000005</v>
      </c>
      <c r="U27" s="3">
        <f>H27+N27+T27</f>
        <v>6467.6630000000032</v>
      </c>
    </row>
    <row r="28" spans="1:23" s="4" customFormat="1" ht="38.25" customHeight="1">
      <c r="A28" s="63"/>
      <c r="B28" s="72" t="s">
        <v>34</v>
      </c>
      <c r="C28" s="5">
        <f t="shared" ref="C28:U28" si="5">SUM(C26:C27)</f>
        <v>7433.185000000004</v>
      </c>
      <c r="D28" s="5">
        <f t="shared" si="5"/>
        <v>12.639999999999999</v>
      </c>
      <c r="E28" s="5">
        <f t="shared" si="5"/>
        <v>132.18</v>
      </c>
      <c r="F28" s="5">
        <f t="shared" si="5"/>
        <v>0</v>
      </c>
      <c r="G28" s="5">
        <f t="shared" si="5"/>
        <v>0.02</v>
      </c>
      <c r="H28" s="5">
        <f t="shared" si="5"/>
        <v>7445.8250000000044</v>
      </c>
      <c r="I28" s="5">
        <f t="shared" si="5"/>
        <v>790.32799999999975</v>
      </c>
      <c r="J28" s="5">
        <f t="shared" si="5"/>
        <v>1.46</v>
      </c>
      <c r="K28" s="5">
        <f t="shared" si="5"/>
        <v>36.079999999999991</v>
      </c>
      <c r="L28" s="5">
        <f t="shared" si="5"/>
        <v>0</v>
      </c>
      <c r="M28" s="5">
        <f t="shared" si="5"/>
        <v>0.02</v>
      </c>
      <c r="N28" s="5">
        <f t="shared" si="5"/>
        <v>791.78799999999978</v>
      </c>
      <c r="O28" s="5">
        <f t="shared" si="5"/>
        <v>54.320000000000007</v>
      </c>
      <c r="P28" s="5">
        <f t="shared" si="5"/>
        <v>0</v>
      </c>
      <c r="Q28" s="5">
        <f t="shared" si="5"/>
        <v>4.1500000000000004</v>
      </c>
      <c r="R28" s="5">
        <f t="shared" si="5"/>
        <v>0</v>
      </c>
      <c r="S28" s="5">
        <f t="shared" si="5"/>
        <v>0</v>
      </c>
      <c r="T28" s="5">
        <f t="shared" si="5"/>
        <v>54.320000000000007</v>
      </c>
      <c r="U28" s="5">
        <f t="shared" si="5"/>
        <v>8291.9330000000027</v>
      </c>
    </row>
    <row r="29" spans="1:23" ht="38.25" customHeight="1">
      <c r="A29" s="64">
        <v>17</v>
      </c>
      <c r="B29" s="73" t="s">
        <v>35</v>
      </c>
      <c r="C29" s="3">
        <f>'Jan 2024'!H29</f>
        <v>5025.5900000000011</v>
      </c>
      <c r="D29" s="3">
        <v>5.34</v>
      </c>
      <c r="E29" s="3">
        <f>'Jan 2024'!E29+'feb 2024'!D29</f>
        <v>149.89200000000002</v>
      </c>
      <c r="F29" s="3">
        <v>0</v>
      </c>
      <c r="G29" s="3">
        <f>'Jan 2024'!G29+'feb 2024'!F29</f>
        <v>0</v>
      </c>
      <c r="H29" s="3">
        <f>C29+D29-F29</f>
        <v>5030.9300000000012</v>
      </c>
      <c r="I29" s="3">
        <f>'Jan 2024'!N29</f>
        <v>125.07000000000001</v>
      </c>
      <c r="J29" s="3">
        <v>2.04</v>
      </c>
      <c r="K29" s="3">
        <f>'Jan 2024'!K29+'feb 2024'!J29</f>
        <v>5.58</v>
      </c>
      <c r="L29" s="3">
        <v>0</v>
      </c>
      <c r="M29" s="3">
        <f>'Jan 2024'!M29+'feb 2024'!L29</f>
        <v>0</v>
      </c>
      <c r="N29" s="3">
        <f>I29+J29-L29</f>
        <v>127.11000000000001</v>
      </c>
      <c r="O29" s="3">
        <f>'Jan 2024'!T29</f>
        <v>34.52000000000001</v>
      </c>
      <c r="P29" s="3">
        <v>0</v>
      </c>
      <c r="Q29" s="3">
        <f>'Jan 2024'!Q29+'feb 2024'!P29</f>
        <v>0</v>
      </c>
      <c r="R29" s="3">
        <v>0</v>
      </c>
      <c r="S29" s="3">
        <f>'Jan 2024'!S29+'feb 2024'!R29</f>
        <v>0</v>
      </c>
      <c r="T29" s="3">
        <f>O29+P29-R29</f>
        <v>34.52000000000001</v>
      </c>
      <c r="U29" s="3">
        <f>H29+N29+T29</f>
        <v>5192.5600000000013</v>
      </c>
      <c r="W29" s="89"/>
    </row>
    <row r="30" spans="1:23" ht="54.75" customHeight="1">
      <c r="A30" s="64">
        <v>18</v>
      </c>
      <c r="B30" s="73" t="s">
        <v>36</v>
      </c>
      <c r="C30" s="3">
        <f>'Jan 2024'!H30</f>
        <v>3771.0139999999992</v>
      </c>
      <c r="D30" s="3">
        <v>13.35</v>
      </c>
      <c r="E30" s="3">
        <f>'Jan 2024'!E30+'feb 2024'!D30</f>
        <v>82.213999999999999</v>
      </c>
      <c r="F30" s="3">
        <v>0</v>
      </c>
      <c r="G30" s="3">
        <f>'Jan 2024'!G30+'feb 2024'!F30</f>
        <v>0</v>
      </c>
      <c r="H30" s="3">
        <f>C30+D30-F30</f>
        <v>3784.3639999999991</v>
      </c>
      <c r="I30" s="3">
        <f>'Jan 2024'!N30</f>
        <v>232.36699999999999</v>
      </c>
      <c r="J30" s="3">
        <v>0</v>
      </c>
      <c r="K30" s="3">
        <f>'Jan 2024'!K30+'feb 2024'!J30</f>
        <v>33.78</v>
      </c>
      <c r="L30" s="3">
        <v>0</v>
      </c>
      <c r="M30" s="3">
        <f>'Jan 2024'!M30+'feb 2024'!L30</f>
        <v>0</v>
      </c>
      <c r="N30" s="3">
        <f>I30+J30-L30</f>
        <v>232.36699999999999</v>
      </c>
      <c r="O30" s="3">
        <f>'Jan 2024'!T30</f>
        <v>23.25</v>
      </c>
      <c r="P30" s="3">
        <v>0</v>
      </c>
      <c r="Q30" s="3">
        <f>'Jan 2024'!Q30+'feb 2024'!P30</f>
        <v>0</v>
      </c>
      <c r="R30" s="3">
        <v>0</v>
      </c>
      <c r="S30" s="3">
        <f>'Jan 2024'!S30+'feb 2024'!R30</f>
        <v>0</v>
      </c>
      <c r="T30" s="3">
        <f>O30+P30-R30</f>
        <v>23.25</v>
      </c>
      <c r="U30" s="3">
        <f>H30+N30+T30</f>
        <v>4039.9809999999993</v>
      </c>
      <c r="W30" s="89"/>
    </row>
    <row r="31" spans="1:23" s="4" customFormat="1" ht="44.25" customHeight="1">
      <c r="A31" s="64">
        <v>19</v>
      </c>
      <c r="B31" s="73" t="s">
        <v>37</v>
      </c>
      <c r="C31" s="3">
        <f>'Jan 2024'!H31</f>
        <v>4726.8320000000012</v>
      </c>
      <c r="D31" s="3">
        <v>3.65</v>
      </c>
      <c r="E31" s="3">
        <f>'Jan 2024'!E31+'feb 2024'!D31</f>
        <v>27.989999999999995</v>
      </c>
      <c r="F31" s="3">
        <v>0</v>
      </c>
      <c r="G31" s="3">
        <f>'Jan 2024'!G31+'feb 2024'!F31</f>
        <v>0</v>
      </c>
      <c r="H31" s="3">
        <f>C31+D31-F31</f>
        <v>4730.4820000000009</v>
      </c>
      <c r="I31" s="3">
        <f>'Jan 2024'!N31</f>
        <v>107.89500000000002</v>
      </c>
      <c r="J31" s="3">
        <v>0</v>
      </c>
      <c r="K31" s="3">
        <f>'Jan 2024'!K31+'feb 2024'!J31</f>
        <v>0.20499999999999999</v>
      </c>
      <c r="L31" s="3">
        <v>0</v>
      </c>
      <c r="M31" s="3">
        <f>'Jan 2024'!M31+'feb 2024'!L31</f>
        <v>0</v>
      </c>
      <c r="N31" s="3">
        <f>I31+J31-L31</f>
        <v>107.89500000000002</v>
      </c>
      <c r="O31" s="3">
        <f>'Jan 2024'!T31</f>
        <v>14.850000000000001</v>
      </c>
      <c r="P31" s="3">
        <v>0</v>
      </c>
      <c r="Q31" s="3">
        <f>'Jan 2024'!Q31+'feb 2024'!P31</f>
        <v>0</v>
      </c>
      <c r="R31" s="3">
        <v>0</v>
      </c>
      <c r="S31" s="3">
        <f>'Jan 2024'!S31+'feb 2024'!R31</f>
        <v>0</v>
      </c>
      <c r="T31" s="3">
        <f>O31+P31-R31</f>
        <v>14.850000000000001</v>
      </c>
      <c r="U31" s="3">
        <f>H31+N31+T31</f>
        <v>4853.2270000000017</v>
      </c>
      <c r="W31" s="89"/>
    </row>
    <row r="32" spans="1:23" ht="70.5" customHeight="1">
      <c r="A32" s="64">
        <v>20</v>
      </c>
      <c r="B32" s="73" t="s">
        <v>38</v>
      </c>
      <c r="C32" s="3">
        <f>'Jan 2024'!H32</f>
        <v>2397.005799999999</v>
      </c>
      <c r="D32" s="3">
        <v>1.8</v>
      </c>
      <c r="E32" s="3">
        <f>'Jan 2024'!E32+'feb 2024'!D32</f>
        <v>34.51</v>
      </c>
      <c r="F32" s="3">
        <v>0</v>
      </c>
      <c r="G32" s="3">
        <f>'Jan 2024'!G32+'feb 2024'!F32</f>
        <v>9.73</v>
      </c>
      <c r="H32" s="3">
        <f>C32+D32-F32</f>
        <v>2398.8057999999992</v>
      </c>
      <c r="I32" s="3">
        <f>'Jan 2024'!N32</f>
        <v>113.90400000000002</v>
      </c>
      <c r="J32" s="3">
        <v>1.54</v>
      </c>
      <c r="K32" s="3">
        <f>'Jan 2024'!K32+'feb 2024'!J32</f>
        <v>22.267999999999997</v>
      </c>
      <c r="L32" s="3">
        <v>0</v>
      </c>
      <c r="M32" s="3">
        <f>'Jan 2024'!M32+'feb 2024'!L32</f>
        <v>0</v>
      </c>
      <c r="N32" s="3">
        <f>I32+J32-L32</f>
        <v>115.44400000000003</v>
      </c>
      <c r="O32" s="3">
        <f>'Jan 2024'!T32</f>
        <v>67.551999999999992</v>
      </c>
      <c r="P32" s="3">
        <v>0</v>
      </c>
      <c r="Q32" s="3">
        <f>'Jan 2024'!Q32+'feb 2024'!P32</f>
        <v>0</v>
      </c>
      <c r="R32" s="3">
        <v>0</v>
      </c>
      <c r="S32" s="3">
        <f>'Jan 2024'!S32+'feb 2024'!R32</f>
        <v>0</v>
      </c>
      <c r="T32" s="3">
        <f>O32+P32-R32</f>
        <v>67.551999999999992</v>
      </c>
      <c r="U32" s="3">
        <f>H32+N32+T32</f>
        <v>2581.8017999999993</v>
      </c>
      <c r="W32" s="89"/>
    </row>
    <row r="33" spans="1:23" s="4" customFormat="1" ht="38.25" customHeight="1">
      <c r="A33" s="63"/>
      <c r="B33" s="72" t="s">
        <v>39</v>
      </c>
      <c r="C33" s="5">
        <f t="shared" ref="C33:U33" si="6">SUM(C29:C32)</f>
        <v>15920.441800000001</v>
      </c>
      <c r="D33" s="5">
        <f t="shared" si="6"/>
        <v>24.139999999999997</v>
      </c>
      <c r="E33" s="5">
        <f t="shared" si="6"/>
        <v>294.60599999999999</v>
      </c>
      <c r="F33" s="5">
        <f t="shared" si="6"/>
        <v>0</v>
      </c>
      <c r="G33" s="5">
        <f t="shared" si="6"/>
        <v>9.73</v>
      </c>
      <c r="H33" s="5">
        <f t="shared" si="6"/>
        <v>15944.5818</v>
      </c>
      <c r="I33" s="5">
        <f t="shared" si="6"/>
        <v>579.2360000000001</v>
      </c>
      <c r="J33" s="5">
        <f t="shared" si="6"/>
        <v>3.58</v>
      </c>
      <c r="K33" s="5">
        <f t="shared" si="6"/>
        <v>61.832999999999998</v>
      </c>
      <c r="L33" s="5">
        <f t="shared" si="6"/>
        <v>0</v>
      </c>
      <c r="M33" s="5">
        <f t="shared" si="6"/>
        <v>0</v>
      </c>
      <c r="N33" s="5">
        <f t="shared" si="6"/>
        <v>582.81600000000003</v>
      </c>
      <c r="O33" s="5">
        <f t="shared" si="6"/>
        <v>140.172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5">
        <f t="shared" si="6"/>
        <v>0</v>
      </c>
      <c r="T33" s="5">
        <f t="shared" si="6"/>
        <v>140.172</v>
      </c>
      <c r="U33" s="5">
        <f t="shared" si="6"/>
        <v>16667.569800000005</v>
      </c>
    </row>
    <row r="34" spans="1:23" ht="38.25" customHeight="1">
      <c r="A34" s="70">
        <v>21</v>
      </c>
      <c r="B34" s="73" t="s">
        <v>40</v>
      </c>
      <c r="C34" s="3">
        <f>'Jan 2024'!H34</f>
        <v>6215.3499999999995</v>
      </c>
      <c r="D34" s="3">
        <v>2.2799999999999998</v>
      </c>
      <c r="E34" s="3">
        <f>'Jan 2024'!E34+'feb 2024'!D34</f>
        <v>1633.5999999999997</v>
      </c>
      <c r="F34" s="3">
        <v>0</v>
      </c>
      <c r="G34" s="3">
        <f>'Jan 2024'!G34+'feb 2024'!F34</f>
        <v>2.72</v>
      </c>
      <c r="H34" s="3">
        <f>C34+D34-F34</f>
        <v>6217.6299999999992</v>
      </c>
      <c r="I34" s="3">
        <f>'Jan 2024'!N34</f>
        <v>116.16999999999999</v>
      </c>
      <c r="J34" s="3">
        <v>9.73</v>
      </c>
      <c r="K34" s="3">
        <f>'Jan 2024'!K34+'feb 2024'!J34</f>
        <v>17.82</v>
      </c>
      <c r="L34" s="3">
        <v>0</v>
      </c>
      <c r="M34" s="3">
        <f>'Jan 2024'!M34+'feb 2024'!L34</f>
        <v>0</v>
      </c>
      <c r="N34" s="3">
        <f>I34+J34-L34</f>
        <v>125.89999999999999</v>
      </c>
      <c r="O34" s="3">
        <f>'Jan 2024'!T34</f>
        <v>72.7</v>
      </c>
      <c r="P34" s="3">
        <f>10.65+0.86</f>
        <v>11.51</v>
      </c>
      <c r="Q34" s="3">
        <f>'Jan 2024'!Q34+'feb 2024'!P34</f>
        <v>11.51</v>
      </c>
      <c r="R34" s="3">
        <v>0</v>
      </c>
      <c r="S34" s="3">
        <f>'Jan 2024'!S34+'feb 2024'!R34</f>
        <v>0</v>
      </c>
      <c r="T34" s="3">
        <f>O34+P34-R34</f>
        <v>84.210000000000008</v>
      </c>
      <c r="U34" s="3">
        <f>H34+N34+T34</f>
        <v>6427.7399999999989</v>
      </c>
      <c r="V34" s="71"/>
      <c r="W34" s="13"/>
    </row>
    <row r="35" spans="1:23" ht="38.25" customHeight="1">
      <c r="A35" s="70">
        <v>22</v>
      </c>
      <c r="B35" s="73" t="s">
        <v>41</v>
      </c>
      <c r="C35" s="3">
        <f>'Jan 2024'!H35</f>
        <v>6997.1999999999971</v>
      </c>
      <c r="D35" s="3">
        <v>0</v>
      </c>
      <c r="E35" s="3">
        <f>'Jan 2024'!E35+'feb 2024'!D35</f>
        <v>313.58</v>
      </c>
      <c r="F35" s="3">
        <v>27.38</v>
      </c>
      <c r="G35" s="3">
        <f>'Jan 2024'!G35+'feb 2024'!F35</f>
        <v>27.38</v>
      </c>
      <c r="H35" s="3">
        <f>C35+D35-F35</f>
        <v>6969.819999999997</v>
      </c>
      <c r="I35" s="3">
        <f>'Jan 2024'!N35</f>
        <v>34.17</v>
      </c>
      <c r="J35" s="3">
        <v>40</v>
      </c>
      <c r="K35" s="3">
        <f>'Jan 2024'!K35+'feb 2024'!J35</f>
        <v>40.04</v>
      </c>
      <c r="L35" s="3">
        <v>0</v>
      </c>
      <c r="M35" s="3">
        <f>'Jan 2024'!M35+'feb 2024'!L35</f>
        <v>0</v>
      </c>
      <c r="N35" s="3">
        <f>I35+J35-L35</f>
        <v>74.17</v>
      </c>
      <c r="O35" s="3">
        <f>'Jan 2024'!T35</f>
        <v>90.800000000000011</v>
      </c>
      <c r="P35" s="3">
        <v>0</v>
      </c>
      <c r="Q35" s="3">
        <f>'Jan 2024'!Q35+'feb 2024'!P35</f>
        <v>0</v>
      </c>
      <c r="R35" s="3">
        <v>0</v>
      </c>
      <c r="S35" s="3">
        <f>'Jan 2024'!S35+'feb 2024'!R35</f>
        <v>0</v>
      </c>
      <c r="T35" s="3">
        <f>O35+P35-R35</f>
        <v>90.800000000000011</v>
      </c>
      <c r="U35" s="3">
        <f>H35+N35+T35</f>
        <v>7134.7899999999972</v>
      </c>
      <c r="V35" s="71"/>
      <c r="W35" s="13"/>
    </row>
    <row r="36" spans="1:23" s="4" customFormat="1" ht="38.25" customHeight="1">
      <c r="A36" s="70">
        <v>23</v>
      </c>
      <c r="B36" s="73" t="s">
        <v>42</v>
      </c>
      <c r="C36" s="3">
        <f>'Jan 2024'!H36</f>
        <v>8782.61</v>
      </c>
      <c r="D36" s="3">
        <v>0</v>
      </c>
      <c r="E36" s="3">
        <f>'Jan 2024'!E36+'feb 2024'!D36</f>
        <v>5084.9500000000007</v>
      </c>
      <c r="F36" s="3">
        <v>88.57</v>
      </c>
      <c r="G36" s="3">
        <f>'Jan 2024'!G36+'feb 2024'!F36</f>
        <v>88.57</v>
      </c>
      <c r="H36" s="3">
        <f>C36+D36-F36</f>
        <v>8694.0400000000009</v>
      </c>
      <c r="I36" s="3">
        <f>'Jan 2024'!N36</f>
        <v>31.19000000000004</v>
      </c>
      <c r="J36" s="3">
        <v>0</v>
      </c>
      <c r="K36" s="3">
        <f>'Jan 2024'!K36+'feb 2024'!J36</f>
        <v>0.94000000000000006</v>
      </c>
      <c r="L36" s="3">
        <v>0</v>
      </c>
      <c r="M36" s="3">
        <f>'Jan 2024'!M36+'feb 2024'!L36</f>
        <v>0</v>
      </c>
      <c r="N36" s="3">
        <f>I36+J36-L36</f>
        <v>31.19000000000004</v>
      </c>
      <c r="O36" s="3">
        <f>'Jan 2024'!T36</f>
        <v>36.379999999999995</v>
      </c>
      <c r="P36" s="3">
        <v>0</v>
      </c>
      <c r="Q36" s="3">
        <f>'Jan 2024'!Q36+'feb 2024'!P36</f>
        <v>0</v>
      </c>
      <c r="R36" s="3">
        <v>0</v>
      </c>
      <c r="S36" s="3">
        <f>'Jan 2024'!S36+'feb 2024'!R36</f>
        <v>0</v>
      </c>
      <c r="T36" s="3">
        <f>O36+P36-R36</f>
        <v>36.379999999999995</v>
      </c>
      <c r="U36" s="3">
        <f>H36+N36+T36</f>
        <v>8761.61</v>
      </c>
      <c r="V36" s="9"/>
      <c r="W36" s="13"/>
    </row>
    <row r="37" spans="1:23" s="4" customFormat="1" ht="38.25" customHeight="1">
      <c r="A37" s="70">
        <v>24</v>
      </c>
      <c r="B37" s="73" t="s">
        <v>43</v>
      </c>
      <c r="C37" s="3">
        <f>'Jan 2024'!H37</f>
        <v>5253.9899999999989</v>
      </c>
      <c r="D37" s="3">
        <v>4.53</v>
      </c>
      <c r="E37" s="3">
        <f>'Jan 2024'!E37+'feb 2024'!D37</f>
        <v>164.01</v>
      </c>
      <c r="F37" s="3">
        <v>0</v>
      </c>
      <c r="G37" s="3">
        <f>'Jan 2024'!G37+'feb 2024'!F37</f>
        <v>0</v>
      </c>
      <c r="H37" s="3">
        <f>C37+D37-F37</f>
        <v>5258.5199999999986</v>
      </c>
      <c r="I37" s="3">
        <f>'Jan 2024'!N37</f>
        <v>26.700000000000003</v>
      </c>
      <c r="J37" s="3">
        <v>0</v>
      </c>
      <c r="K37" s="3">
        <f>'Jan 2024'!K37+'feb 2024'!J37</f>
        <v>0</v>
      </c>
      <c r="L37" s="3">
        <v>0</v>
      </c>
      <c r="M37" s="3">
        <f>'Jan 2024'!M37+'feb 2024'!L37</f>
        <v>0</v>
      </c>
      <c r="N37" s="3">
        <f>I37+J37-L37</f>
        <v>26.700000000000003</v>
      </c>
      <c r="O37" s="3">
        <f>'Jan 2024'!T37</f>
        <v>3.0599999999999996</v>
      </c>
      <c r="P37" s="3">
        <v>0</v>
      </c>
      <c r="Q37" s="3">
        <f>'Jan 2024'!Q37+'feb 2024'!P37</f>
        <v>0</v>
      </c>
      <c r="R37" s="3">
        <v>0</v>
      </c>
      <c r="S37" s="3">
        <f>'Jan 2024'!S37+'feb 2024'!R37</f>
        <v>0</v>
      </c>
      <c r="T37" s="3">
        <f>O37+P37-R37</f>
        <v>3.0599999999999996</v>
      </c>
      <c r="U37" s="3">
        <f>H37+N37+T37</f>
        <v>5288.2799999999988</v>
      </c>
      <c r="V37" s="9"/>
      <c r="W37" s="13"/>
    </row>
    <row r="38" spans="1:23" s="4" customFormat="1" ht="38.25" customHeight="1">
      <c r="A38" s="69"/>
      <c r="B38" s="72" t="s">
        <v>44</v>
      </c>
      <c r="C38" s="5">
        <f t="shared" ref="C38:U38" si="7">SUM(C34:C37)</f>
        <v>27249.149999999994</v>
      </c>
      <c r="D38" s="5">
        <f t="shared" si="7"/>
        <v>6.8100000000000005</v>
      </c>
      <c r="E38" s="5">
        <f t="shared" si="7"/>
        <v>7196.14</v>
      </c>
      <c r="F38" s="5">
        <f t="shared" si="7"/>
        <v>115.94999999999999</v>
      </c>
      <c r="G38" s="5">
        <f t="shared" si="7"/>
        <v>118.66999999999999</v>
      </c>
      <c r="H38" s="5">
        <f t="shared" si="7"/>
        <v>27140.009999999995</v>
      </c>
      <c r="I38" s="5">
        <f t="shared" si="7"/>
        <v>208.23000000000002</v>
      </c>
      <c r="J38" s="5">
        <f t="shared" si="7"/>
        <v>49.730000000000004</v>
      </c>
      <c r="K38" s="5">
        <f t="shared" si="7"/>
        <v>58.8</v>
      </c>
      <c r="L38" s="5">
        <f t="shared" si="7"/>
        <v>0</v>
      </c>
      <c r="M38" s="5">
        <f t="shared" si="7"/>
        <v>0</v>
      </c>
      <c r="N38" s="5">
        <f t="shared" si="7"/>
        <v>257.96000000000004</v>
      </c>
      <c r="O38" s="5">
        <f t="shared" si="7"/>
        <v>202.94</v>
      </c>
      <c r="P38" s="5">
        <f t="shared" si="7"/>
        <v>11.51</v>
      </c>
      <c r="Q38" s="5">
        <f t="shared" si="7"/>
        <v>11.51</v>
      </c>
      <c r="R38" s="5">
        <f t="shared" si="7"/>
        <v>0</v>
      </c>
      <c r="S38" s="5">
        <f t="shared" si="7"/>
        <v>0</v>
      </c>
      <c r="T38" s="5">
        <f t="shared" si="7"/>
        <v>214.45000000000002</v>
      </c>
      <c r="U38" s="5">
        <f t="shared" si="7"/>
        <v>27612.419999999995</v>
      </c>
    </row>
    <row r="39" spans="1:23" s="4" customFormat="1" ht="38.25" customHeight="1">
      <c r="A39" s="63"/>
      <c r="B39" s="72" t="s">
        <v>45</v>
      </c>
      <c r="C39" s="5">
        <f t="shared" ref="C39:U39" si="8">C38+C33+C28</f>
        <v>50602.7768</v>
      </c>
      <c r="D39" s="5">
        <f t="shared" si="8"/>
        <v>43.589999999999996</v>
      </c>
      <c r="E39" s="5">
        <f t="shared" si="8"/>
        <v>7622.9260000000004</v>
      </c>
      <c r="F39" s="5">
        <f t="shared" si="8"/>
        <v>115.94999999999999</v>
      </c>
      <c r="G39" s="5">
        <f t="shared" si="8"/>
        <v>128.41999999999999</v>
      </c>
      <c r="H39" s="5">
        <f t="shared" si="8"/>
        <v>50530.416799999999</v>
      </c>
      <c r="I39" s="5">
        <f t="shared" si="8"/>
        <v>1577.7939999999999</v>
      </c>
      <c r="J39" s="5">
        <f t="shared" si="8"/>
        <v>54.77</v>
      </c>
      <c r="K39" s="5">
        <f t="shared" si="8"/>
        <v>156.71299999999999</v>
      </c>
      <c r="L39" s="5">
        <f t="shared" si="8"/>
        <v>0</v>
      </c>
      <c r="M39" s="5">
        <f t="shared" si="8"/>
        <v>0.02</v>
      </c>
      <c r="N39" s="5">
        <f t="shared" si="8"/>
        <v>1632.5639999999999</v>
      </c>
      <c r="O39" s="5">
        <f t="shared" si="8"/>
        <v>397.43199999999996</v>
      </c>
      <c r="P39" s="5">
        <f t="shared" si="8"/>
        <v>11.51</v>
      </c>
      <c r="Q39" s="5">
        <f t="shared" si="8"/>
        <v>15.66</v>
      </c>
      <c r="R39" s="5">
        <f t="shared" si="8"/>
        <v>0</v>
      </c>
      <c r="S39" s="5">
        <f t="shared" si="8"/>
        <v>0</v>
      </c>
      <c r="T39" s="5">
        <f t="shared" si="8"/>
        <v>408.94200000000001</v>
      </c>
      <c r="U39" s="5">
        <f t="shared" si="8"/>
        <v>52571.9228</v>
      </c>
    </row>
    <row r="40" spans="1:23" ht="38.25" customHeight="1">
      <c r="A40" s="64">
        <v>25</v>
      </c>
      <c r="B40" s="73" t="s">
        <v>46</v>
      </c>
      <c r="C40" s="3">
        <f>'Jan 2024'!H40</f>
        <v>14292.773999999996</v>
      </c>
      <c r="D40" s="3">
        <v>31.23</v>
      </c>
      <c r="E40" s="3">
        <f>'Jan 2024'!E40+'feb 2024'!D40</f>
        <v>2466.3800000000006</v>
      </c>
      <c r="F40" s="3">
        <v>0</v>
      </c>
      <c r="G40" s="3">
        <f>'Jan 2024'!G40+'feb 2024'!F40</f>
        <v>0</v>
      </c>
      <c r="H40" s="3">
        <f>C40+D40-F40</f>
        <v>14324.003999999995</v>
      </c>
      <c r="I40" s="3">
        <f>'Jan 2024'!N40</f>
        <v>198.73</v>
      </c>
      <c r="J40" s="3">
        <v>0</v>
      </c>
      <c r="K40" s="3">
        <f>'Jan 2024'!K40+'feb 2024'!J40</f>
        <v>0</v>
      </c>
      <c r="L40" s="3">
        <v>0</v>
      </c>
      <c r="M40" s="3">
        <f>'Jan 2024'!M40+'feb 2024'!L40</f>
        <v>0</v>
      </c>
      <c r="N40" s="3">
        <f>I40+J40-L40</f>
        <v>198.73</v>
      </c>
      <c r="O40" s="3">
        <f>'Jan 2024'!T40</f>
        <v>106.93</v>
      </c>
      <c r="P40" s="3">
        <v>0</v>
      </c>
      <c r="Q40" s="3">
        <f>'Jan 2024'!Q40+'feb 2024'!P40</f>
        <v>0</v>
      </c>
      <c r="R40" s="3">
        <v>0</v>
      </c>
      <c r="S40" s="3">
        <f>'Jan 2024'!S40+'feb 2024'!R40</f>
        <v>0</v>
      </c>
      <c r="T40" s="3">
        <f>O40+P40-R40</f>
        <v>106.93</v>
      </c>
      <c r="U40" s="3">
        <f>H40+N40+T40</f>
        <v>14629.663999999995</v>
      </c>
    </row>
    <row r="41" spans="1:23" ht="38.25" customHeight="1">
      <c r="A41" s="64">
        <v>26</v>
      </c>
      <c r="B41" s="73" t="s">
        <v>47</v>
      </c>
      <c r="C41" s="3">
        <f>'Jan 2024'!H41</f>
        <v>9027.9589999999935</v>
      </c>
      <c r="D41" s="3">
        <v>17.36</v>
      </c>
      <c r="E41" s="3">
        <f>'Jan 2024'!E41+'feb 2024'!D41</f>
        <v>597.92000000000007</v>
      </c>
      <c r="F41" s="3">
        <v>0</v>
      </c>
      <c r="G41" s="3">
        <f>'Jan 2024'!G41+'feb 2024'!F41</f>
        <v>0</v>
      </c>
      <c r="H41" s="3">
        <f>C41+D41-F41</f>
        <v>9045.318999999994</v>
      </c>
      <c r="I41" s="3">
        <f>'Jan 2024'!N41</f>
        <v>8.67</v>
      </c>
      <c r="J41" s="3">
        <v>0</v>
      </c>
      <c r="K41" s="3">
        <f>'Jan 2024'!K41+'feb 2024'!J41</f>
        <v>0</v>
      </c>
      <c r="L41" s="3">
        <v>0</v>
      </c>
      <c r="M41" s="3">
        <f>'Jan 2024'!M41+'feb 2024'!L41</f>
        <v>0</v>
      </c>
      <c r="N41" s="3">
        <f>I41+J41-L41</f>
        <v>8.67</v>
      </c>
      <c r="O41" s="3">
        <f>'Jan 2024'!T41</f>
        <v>141.29000000000002</v>
      </c>
      <c r="P41" s="3">
        <v>0</v>
      </c>
      <c r="Q41" s="3">
        <f>'Jan 2024'!Q41+'feb 2024'!P41</f>
        <v>0</v>
      </c>
      <c r="R41" s="3">
        <v>0</v>
      </c>
      <c r="S41" s="3">
        <f>'Jan 2024'!S41+'feb 2024'!R41</f>
        <v>0</v>
      </c>
      <c r="T41" s="3">
        <f>O41+P41-R41</f>
        <v>141.29000000000002</v>
      </c>
      <c r="U41" s="3">
        <f>H41+N41+T41</f>
        <v>9195.278999999995</v>
      </c>
    </row>
    <row r="42" spans="1:23" s="4" customFormat="1" ht="38.25" customHeight="1">
      <c r="A42" s="64">
        <v>27</v>
      </c>
      <c r="B42" s="73" t="s">
        <v>48</v>
      </c>
      <c r="C42" s="3">
        <f>'Jan 2024'!H42</f>
        <v>16793.931999999993</v>
      </c>
      <c r="D42" s="3">
        <v>34.9</v>
      </c>
      <c r="E42" s="3">
        <f>'Jan 2024'!E42+'feb 2024'!D42</f>
        <v>2875.1590000000006</v>
      </c>
      <c r="F42" s="3">
        <v>0</v>
      </c>
      <c r="G42" s="3">
        <f>'Jan 2024'!G42+'feb 2024'!F42</f>
        <v>0</v>
      </c>
      <c r="H42" s="3">
        <f>C42+D42-F42</f>
        <v>16828.831999999995</v>
      </c>
      <c r="I42" s="3">
        <f>'Jan 2024'!N42</f>
        <v>15.62</v>
      </c>
      <c r="J42" s="3">
        <v>0</v>
      </c>
      <c r="K42" s="3">
        <f>'Jan 2024'!K42+'feb 2024'!J42</f>
        <v>0</v>
      </c>
      <c r="L42" s="3">
        <v>0</v>
      </c>
      <c r="M42" s="3">
        <f>'Jan 2024'!M42+'feb 2024'!L42</f>
        <v>0</v>
      </c>
      <c r="N42" s="3">
        <f>I42+J42-L42</f>
        <v>15.62</v>
      </c>
      <c r="O42" s="3">
        <f>'Jan 2024'!T42</f>
        <v>205.35</v>
      </c>
      <c r="P42" s="3">
        <v>0</v>
      </c>
      <c r="Q42" s="3">
        <f>'Jan 2024'!Q42+'feb 2024'!P42</f>
        <v>0</v>
      </c>
      <c r="R42" s="3">
        <v>0</v>
      </c>
      <c r="S42" s="3">
        <f>'Jan 2024'!S42+'feb 2024'!R42</f>
        <v>0</v>
      </c>
      <c r="T42" s="3">
        <f>O42+P42-R42</f>
        <v>205.35</v>
      </c>
      <c r="U42" s="3">
        <f>H42+N42+T42</f>
        <v>17049.801999999992</v>
      </c>
    </row>
    <row r="43" spans="1:23" ht="38.25" customHeight="1">
      <c r="A43" s="64">
        <v>28</v>
      </c>
      <c r="B43" s="73" t="s">
        <v>49</v>
      </c>
      <c r="C43" s="3">
        <f>'Jan 2024'!H43</f>
        <v>4750.9900000000016</v>
      </c>
      <c r="D43" s="3">
        <v>8.82</v>
      </c>
      <c r="E43" s="3">
        <f>'Jan 2024'!E43+'feb 2024'!D43</f>
        <v>557.85</v>
      </c>
      <c r="F43" s="3">
        <v>0</v>
      </c>
      <c r="G43" s="3">
        <f>'Jan 2024'!G43+'feb 2024'!F43</f>
        <v>0</v>
      </c>
      <c r="H43" s="3">
        <f>C43+D43-F43</f>
        <v>4759.8100000000013</v>
      </c>
      <c r="I43" s="3">
        <f>'Jan 2024'!N43</f>
        <v>3.5</v>
      </c>
      <c r="J43" s="3">
        <v>0</v>
      </c>
      <c r="K43" s="3">
        <f>'Jan 2024'!K43+'feb 2024'!J43</f>
        <v>0</v>
      </c>
      <c r="L43" s="3">
        <v>0</v>
      </c>
      <c r="M43" s="3">
        <f>'Jan 2024'!M43+'feb 2024'!L43</f>
        <v>0</v>
      </c>
      <c r="N43" s="3">
        <f>I43+J43-L43</f>
        <v>3.5</v>
      </c>
      <c r="O43" s="3">
        <f>'Jan 2024'!T43</f>
        <v>29.8</v>
      </c>
      <c r="P43" s="3">
        <v>0</v>
      </c>
      <c r="Q43" s="3">
        <f>'Jan 2024'!Q43+'feb 2024'!P43</f>
        <v>0</v>
      </c>
      <c r="R43" s="3">
        <v>0</v>
      </c>
      <c r="S43" s="3">
        <f>'Jan 2024'!S43+'feb 2024'!R43</f>
        <v>0</v>
      </c>
      <c r="T43" s="3">
        <f>O43+P43-R43</f>
        <v>29.8</v>
      </c>
      <c r="U43" s="3">
        <f>H43+N43+T43</f>
        <v>4793.1100000000015</v>
      </c>
    </row>
    <row r="44" spans="1:23" s="4" customFormat="1" ht="38.25" customHeight="1">
      <c r="A44" s="63"/>
      <c r="B44" s="72" t="s">
        <v>50</v>
      </c>
      <c r="C44" s="5">
        <f t="shared" ref="C44:U44" si="9">SUM(C40:C43)</f>
        <v>44865.654999999984</v>
      </c>
      <c r="D44" s="5">
        <f t="shared" si="9"/>
        <v>92.31</v>
      </c>
      <c r="E44" s="5">
        <f t="shared" si="9"/>
        <v>6497.3090000000011</v>
      </c>
      <c r="F44" s="5">
        <f t="shared" si="9"/>
        <v>0</v>
      </c>
      <c r="G44" s="5">
        <f t="shared" si="9"/>
        <v>0</v>
      </c>
      <c r="H44" s="5">
        <f t="shared" si="9"/>
        <v>44957.964999999982</v>
      </c>
      <c r="I44" s="5">
        <f t="shared" si="9"/>
        <v>226.51999999999998</v>
      </c>
      <c r="J44" s="5">
        <f t="shared" si="9"/>
        <v>0</v>
      </c>
      <c r="K44" s="5">
        <f t="shared" si="9"/>
        <v>0</v>
      </c>
      <c r="L44" s="5">
        <f t="shared" si="9"/>
        <v>0</v>
      </c>
      <c r="M44" s="5">
        <f t="shared" si="9"/>
        <v>0</v>
      </c>
      <c r="N44" s="5">
        <f t="shared" si="9"/>
        <v>226.51999999999998</v>
      </c>
      <c r="O44" s="5">
        <f t="shared" si="9"/>
        <v>483.37000000000006</v>
      </c>
      <c r="P44" s="5">
        <f t="shared" si="9"/>
        <v>0</v>
      </c>
      <c r="Q44" s="5">
        <f t="shared" si="9"/>
        <v>0</v>
      </c>
      <c r="R44" s="5">
        <f t="shared" si="9"/>
        <v>0</v>
      </c>
      <c r="S44" s="5">
        <f t="shared" si="9"/>
        <v>0</v>
      </c>
      <c r="T44" s="5">
        <f t="shared" si="9"/>
        <v>483.37000000000006</v>
      </c>
      <c r="U44" s="5">
        <f t="shared" si="9"/>
        <v>45667.854999999981</v>
      </c>
    </row>
    <row r="45" spans="1:23" ht="38.25" customHeight="1">
      <c r="A45" s="64">
        <v>29</v>
      </c>
      <c r="B45" s="73" t="s">
        <v>51</v>
      </c>
      <c r="C45" s="3">
        <f>'Jan 2024'!H45</f>
        <v>8509.4120999999977</v>
      </c>
      <c r="D45" s="3">
        <v>5.91</v>
      </c>
      <c r="E45" s="3">
        <f>'Jan 2024'!E45+'feb 2024'!D45</f>
        <v>151.51</v>
      </c>
      <c r="F45" s="3">
        <v>0</v>
      </c>
      <c r="G45" s="3">
        <f>'Jan 2024'!G45+'feb 2024'!F45</f>
        <v>0</v>
      </c>
      <c r="H45" s="3">
        <f>C45+D45-F45</f>
        <v>8515.3220999999976</v>
      </c>
      <c r="I45" s="3">
        <f>'Jan 2024'!N45</f>
        <v>262.02</v>
      </c>
      <c r="J45" s="3">
        <v>0.03</v>
      </c>
      <c r="K45" s="3">
        <f>'Jan 2024'!K45+'feb 2024'!J45</f>
        <v>1</v>
      </c>
      <c r="L45" s="3">
        <v>0</v>
      </c>
      <c r="M45" s="3">
        <f>'Jan 2024'!M45+'feb 2024'!L45</f>
        <v>0</v>
      </c>
      <c r="N45" s="3">
        <f>I45+J45-L45</f>
        <v>262.04999999999995</v>
      </c>
      <c r="O45" s="3">
        <f>'Jan 2024'!T45</f>
        <v>84.53</v>
      </c>
      <c r="P45" s="3">
        <v>0</v>
      </c>
      <c r="Q45" s="3">
        <f>'Jan 2024'!Q45+'feb 2024'!P45</f>
        <v>0.14000000000000001</v>
      </c>
      <c r="R45" s="3">
        <v>0</v>
      </c>
      <c r="S45" s="3">
        <f>'Jan 2024'!S45+'feb 2024'!R45</f>
        <v>0</v>
      </c>
      <c r="T45" s="3">
        <f>O45+P45-R45</f>
        <v>84.53</v>
      </c>
      <c r="U45" s="3">
        <f>H45+N45+T45</f>
        <v>8861.9020999999975</v>
      </c>
    </row>
    <row r="46" spans="1:23" ht="38.25" customHeight="1">
      <c r="A46" s="64">
        <v>30</v>
      </c>
      <c r="B46" s="73" t="s">
        <v>52</v>
      </c>
      <c r="C46" s="3">
        <f>'Jan 2024'!H46</f>
        <v>8151.8250000000016</v>
      </c>
      <c r="D46" s="3">
        <v>11.39</v>
      </c>
      <c r="E46" s="3">
        <f>'Jan 2024'!E46+'feb 2024'!D46</f>
        <v>215.98000000000002</v>
      </c>
      <c r="F46" s="3">
        <v>0</v>
      </c>
      <c r="G46" s="3">
        <f>'Jan 2024'!G46+'feb 2024'!F46</f>
        <v>0</v>
      </c>
      <c r="H46" s="3">
        <f>C46+D46-F46</f>
        <v>8163.215000000002</v>
      </c>
      <c r="I46" s="3">
        <f>'Jan 2024'!N46</f>
        <v>0</v>
      </c>
      <c r="J46" s="3">
        <v>0</v>
      </c>
      <c r="K46" s="3">
        <f>'Jan 2024'!K46+'feb 2024'!J46</f>
        <v>0</v>
      </c>
      <c r="L46" s="3">
        <v>0</v>
      </c>
      <c r="M46" s="3">
        <f>'Jan 2024'!M46+'feb 2024'!L46</f>
        <v>0</v>
      </c>
      <c r="N46" s="3">
        <f>I46+J46-L46</f>
        <v>0</v>
      </c>
      <c r="O46" s="3">
        <f>'Jan 2024'!T46</f>
        <v>52.53</v>
      </c>
      <c r="P46" s="3">
        <v>0</v>
      </c>
      <c r="Q46" s="3">
        <f>'Jan 2024'!Q46+'feb 2024'!P46</f>
        <v>5.5</v>
      </c>
      <c r="R46" s="3">
        <v>0</v>
      </c>
      <c r="S46" s="3">
        <f>'Jan 2024'!S46+'feb 2024'!R46</f>
        <v>0</v>
      </c>
      <c r="T46" s="3">
        <f>O46+P46-R46</f>
        <v>52.53</v>
      </c>
      <c r="U46" s="3">
        <f>H46+N46+T46</f>
        <v>8215.7450000000026</v>
      </c>
    </row>
    <row r="47" spans="1:23" s="4" customFormat="1" ht="38.25" customHeight="1">
      <c r="A47" s="64">
        <v>31</v>
      </c>
      <c r="B47" s="73" t="s">
        <v>53</v>
      </c>
      <c r="C47" s="3">
        <f>'Jan 2024'!H47</f>
        <v>9416.4899999999943</v>
      </c>
      <c r="D47" s="3">
        <v>14.97</v>
      </c>
      <c r="E47" s="3">
        <f>'Jan 2024'!E47+'feb 2024'!D47</f>
        <v>353.75999999999993</v>
      </c>
      <c r="F47" s="3">
        <v>0</v>
      </c>
      <c r="G47" s="3">
        <f>'Jan 2024'!G47+'feb 2024'!F47</f>
        <v>0</v>
      </c>
      <c r="H47" s="3">
        <f>C47+D47-F47</f>
        <v>9431.4599999999937</v>
      </c>
      <c r="I47" s="3">
        <f>'Jan 2024'!N47</f>
        <v>3.13</v>
      </c>
      <c r="J47" s="3">
        <v>0</v>
      </c>
      <c r="K47" s="3">
        <f>'Jan 2024'!K47+'feb 2024'!J47</f>
        <v>0</v>
      </c>
      <c r="L47" s="3">
        <v>0</v>
      </c>
      <c r="M47" s="3">
        <f>'Jan 2024'!M47+'feb 2024'!L47</f>
        <v>0</v>
      </c>
      <c r="N47" s="3">
        <f>I47+J47-L47</f>
        <v>3.13</v>
      </c>
      <c r="O47" s="3">
        <f>'Jan 2024'!T47</f>
        <v>118.94999999999999</v>
      </c>
      <c r="P47" s="3">
        <v>0</v>
      </c>
      <c r="Q47" s="3">
        <f>'Jan 2024'!Q47+'feb 2024'!P47</f>
        <v>0</v>
      </c>
      <c r="R47" s="3">
        <v>0</v>
      </c>
      <c r="S47" s="3">
        <f>'Jan 2024'!S47+'feb 2024'!R47</f>
        <v>0</v>
      </c>
      <c r="T47" s="3">
        <f>O47+P47-R47</f>
        <v>118.94999999999999</v>
      </c>
      <c r="U47" s="3">
        <f>H47+N47+T47</f>
        <v>9553.5399999999936</v>
      </c>
    </row>
    <row r="48" spans="1:23" s="4" customFormat="1" ht="38.25" customHeight="1">
      <c r="A48" s="64">
        <v>32</v>
      </c>
      <c r="B48" s="73" t="s">
        <v>54</v>
      </c>
      <c r="C48" s="3">
        <f>'Jan 2024'!H48</f>
        <v>8661.998999999998</v>
      </c>
      <c r="D48" s="3">
        <v>4.45</v>
      </c>
      <c r="E48" s="3">
        <f>'Jan 2024'!E48+'feb 2024'!D48</f>
        <v>60.500000000000007</v>
      </c>
      <c r="F48" s="3">
        <v>0</v>
      </c>
      <c r="G48" s="3">
        <f>'Jan 2024'!G48+'feb 2024'!F48</f>
        <v>0</v>
      </c>
      <c r="H48" s="3">
        <f>C48+D48-F48</f>
        <v>8666.4489999999987</v>
      </c>
      <c r="I48" s="3">
        <f>'Jan 2024'!N48</f>
        <v>5.0249999999999995</v>
      </c>
      <c r="J48" s="3">
        <v>0</v>
      </c>
      <c r="K48" s="3">
        <f>'Jan 2024'!K48+'feb 2024'!J48</f>
        <v>0</v>
      </c>
      <c r="L48" s="3">
        <v>0</v>
      </c>
      <c r="M48" s="3">
        <f>'Jan 2024'!M48+'feb 2024'!L48</f>
        <v>0</v>
      </c>
      <c r="N48" s="3">
        <f>I48+J48-L48</f>
        <v>5.0249999999999995</v>
      </c>
      <c r="O48" s="3">
        <f>'Jan 2024'!T48</f>
        <v>4.21</v>
      </c>
      <c r="P48" s="3">
        <v>0</v>
      </c>
      <c r="Q48" s="3">
        <f>'Jan 2024'!Q48+'feb 2024'!P48</f>
        <v>0</v>
      </c>
      <c r="R48" s="3">
        <v>0</v>
      </c>
      <c r="S48" s="3">
        <f>'Jan 2024'!S48+'feb 2024'!R48</f>
        <v>0</v>
      </c>
      <c r="T48" s="3">
        <f>O48+P48-R48</f>
        <v>4.21</v>
      </c>
      <c r="U48" s="3">
        <f>H48+N48+T48</f>
        <v>8675.6839999999975</v>
      </c>
    </row>
    <row r="49" spans="1:23" s="4" customFormat="1" ht="38.25" customHeight="1">
      <c r="A49" s="63"/>
      <c r="B49" s="72" t="s">
        <v>55</v>
      </c>
      <c r="C49" s="5">
        <f t="shared" ref="C49:U49" si="10">SUM(C45:C48)</f>
        <v>34739.726099999993</v>
      </c>
      <c r="D49" s="5">
        <f t="shared" si="10"/>
        <v>36.720000000000006</v>
      </c>
      <c r="E49" s="5">
        <f t="shared" si="10"/>
        <v>781.75</v>
      </c>
      <c r="F49" s="5">
        <f t="shared" si="10"/>
        <v>0</v>
      </c>
      <c r="G49" s="5">
        <f t="shared" si="10"/>
        <v>0</v>
      </c>
      <c r="H49" s="5">
        <f t="shared" si="10"/>
        <v>34776.446099999994</v>
      </c>
      <c r="I49" s="5">
        <f t="shared" si="10"/>
        <v>270.17499999999995</v>
      </c>
      <c r="J49" s="5">
        <f t="shared" si="10"/>
        <v>0.03</v>
      </c>
      <c r="K49" s="5">
        <f t="shared" si="10"/>
        <v>1</v>
      </c>
      <c r="L49" s="5">
        <f t="shared" si="10"/>
        <v>0</v>
      </c>
      <c r="M49" s="5">
        <f t="shared" si="10"/>
        <v>0</v>
      </c>
      <c r="N49" s="5">
        <f t="shared" si="10"/>
        <v>270.20499999999993</v>
      </c>
      <c r="O49" s="5">
        <f t="shared" si="10"/>
        <v>260.21999999999997</v>
      </c>
      <c r="P49" s="5">
        <f t="shared" si="10"/>
        <v>0</v>
      </c>
      <c r="Q49" s="5">
        <f t="shared" si="10"/>
        <v>5.64</v>
      </c>
      <c r="R49" s="5">
        <f t="shared" si="10"/>
        <v>0</v>
      </c>
      <c r="S49" s="5">
        <f t="shared" si="10"/>
        <v>0</v>
      </c>
      <c r="T49" s="5">
        <f t="shared" si="10"/>
        <v>260.21999999999997</v>
      </c>
      <c r="U49" s="5">
        <f t="shared" si="10"/>
        <v>35306.871099999989</v>
      </c>
    </row>
    <row r="50" spans="1:23" s="4" customFormat="1" ht="38.25" customHeight="1">
      <c r="A50" s="63"/>
      <c r="B50" s="72" t="s">
        <v>56</v>
      </c>
      <c r="C50" s="5">
        <f t="shared" ref="C50:U50" si="11">C49+C44</f>
        <v>79605.38109999997</v>
      </c>
      <c r="D50" s="5">
        <f t="shared" si="11"/>
        <v>129.03</v>
      </c>
      <c r="E50" s="5">
        <f t="shared" si="11"/>
        <v>7279.0590000000011</v>
      </c>
      <c r="F50" s="5">
        <f t="shared" si="11"/>
        <v>0</v>
      </c>
      <c r="G50" s="5">
        <f t="shared" si="11"/>
        <v>0</v>
      </c>
      <c r="H50" s="5">
        <f t="shared" si="11"/>
        <v>79734.411099999968</v>
      </c>
      <c r="I50" s="5">
        <f t="shared" si="11"/>
        <v>496.69499999999994</v>
      </c>
      <c r="J50" s="5">
        <f t="shared" si="11"/>
        <v>0.03</v>
      </c>
      <c r="K50" s="5">
        <f t="shared" si="11"/>
        <v>1</v>
      </c>
      <c r="L50" s="5">
        <f t="shared" si="11"/>
        <v>0</v>
      </c>
      <c r="M50" s="5">
        <f t="shared" si="11"/>
        <v>0</v>
      </c>
      <c r="N50" s="5">
        <f t="shared" si="11"/>
        <v>496.72499999999991</v>
      </c>
      <c r="O50" s="5">
        <f t="shared" si="11"/>
        <v>743.59</v>
      </c>
      <c r="P50" s="5">
        <f t="shared" si="11"/>
        <v>0</v>
      </c>
      <c r="Q50" s="5">
        <f t="shared" si="11"/>
        <v>5.64</v>
      </c>
      <c r="R50" s="5">
        <f t="shared" si="11"/>
        <v>0</v>
      </c>
      <c r="S50" s="5">
        <f t="shared" si="11"/>
        <v>0</v>
      </c>
      <c r="T50" s="5">
        <f t="shared" si="11"/>
        <v>743.59</v>
      </c>
      <c r="U50" s="5">
        <f t="shared" si="11"/>
        <v>80974.726099999971</v>
      </c>
    </row>
    <row r="51" spans="1:23" s="4" customFormat="1" ht="38.25" customHeight="1">
      <c r="A51" s="63"/>
      <c r="B51" s="72" t="s">
        <v>57</v>
      </c>
      <c r="C51" s="5">
        <f t="shared" ref="C51:U51" si="12">C50+C39+C25</f>
        <v>134162.63389999996</v>
      </c>
      <c r="D51" s="5">
        <f t="shared" si="12"/>
        <v>173.43</v>
      </c>
      <c r="E51" s="5">
        <f t="shared" si="12"/>
        <v>14959.105000000001</v>
      </c>
      <c r="F51" s="5">
        <f t="shared" si="12"/>
        <v>115.94999999999999</v>
      </c>
      <c r="G51" s="5">
        <f t="shared" si="12"/>
        <v>175.10999999999999</v>
      </c>
      <c r="H51" s="26">
        <f t="shared" si="12"/>
        <v>134220.11389999997</v>
      </c>
      <c r="I51" s="5">
        <f t="shared" si="12"/>
        <v>11380.437</v>
      </c>
      <c r="J51" s="5">
        <f t="shared" si="12"/>
        <v>89.03</v>
      </c>
      <c r="K51" s="5">
        <f t="shared" si="12"/>
        <v>567.50099999999998</v>
      </c>
      <c r="L51" s="5">
        <f t="shared" si="12"/>
        <v>0</v>
      </c>
      <c r="M51" s="5">
        <f t="shared" si="12"/>
        <v>6.92</v>
      </c>
      <c r="N51" s="26">
        <f t="shared" si="12"/>
        <v>11469.467000000001</v>
      </c>
      <c r="O51" s="5">
        <f t="shared" si="12"/>
        <v>1552.2</v>
      </c>
      <c r="P51" s="5">
        <f t="shared" si="12"/>
        <v>11.51</v>
      </c>
      <c r="Q51" s="5">
        <f t="shared" si="12"/>
        <v>22.71</v>
      </c>
      <c r="R51" s="5">
        <f t="shared" si="12"/>
        <v>0</v>
      </c>
      <c r="S51" s="5">
        <f t="shared" si="12"/>
        <v>136.24</v>
      </c>
      <c r="T51" s="26">
        <f t="shared" si="12"/>
        <v>1563.7100000000003</v>
      </c>
      <c r="U51" s="5">
        <f t="shared" si="12"/>
        <v>147253.29089999996</v>
      </c>
    </row>
    <row r="52" spans="1:23" s="4" customFormat="1" ht="38.25" customHeight="1">
      <c r="A52" s="9"/>
      <c r="B52" s="74"/>
      <c r="C52" s="68"/>
      <c r="D52" s="65"/>
      <c r="E52" s="65"/>
      <c r="F52" s="65"/>
      <c r="G52" s="65"/>
      <c r="H52" s="65"/>
      <c r="I52" s="68"/>
      <c r="J52" s="65"/>
      <c r="K52" s="65"/>
      <c r="L52" s="65"/>
      <c r="M52" s="65"/>
      <c r="N52" s="65"/>
      <c r="O52" s="68"/>
      <c r="P52" s="65"/>
      <c r="Q52" s="65"/>
      <c r="R52" s="65"/>
      <c r="S52" s="65"/>
      <c r="T52" s="65"/>
      <c r="U52" s="65"/>
    </row>
    <row r="53" spans="1:23" s="9" customFormat="1" ht="24.75" customHeight="1">
      <c r="B53" s="11"/>
      <c r="C53" s="88" t="s">
        <v>58</v>
      </c>
      <c r="D53" s="88"/>
      <c r="E53" s="88"/>
      <c r="F53" s="88"/>
      <c r="G53" s="88"/>
      <c r="H53" s="12"/>
      <c r="I53" s="65"/>
      <c r="J53" s="65">
        <f>D51+J51+P51-F51-L51-R51</f>
        <v>158.02000000000004</v>
      </c>
      <c r="K53" s="65"/>
      <c r="L53" s="65"/>
      <c r="M53" s="65"/>
      <c r="N53" s="65"/>
      <c r="R53" s="65"/>
      <c r="U53" s="65"/>
    </row>
    <row r="54" spans="1:23" s="9" customFormat="1" ht="30" customHeight="1">
      <c r="B54" s="11"/>
      <c r="C54" s="88" t="s">
        <v>59</v>
      </c>
      <c r="D54" s="88"/>
      <c r="E54" s="88"/>
      <c r="F54" s="88"/>
      <c r="G54" s="88"/>
      <c r="H54" s="13"/>
      <c r="I54" s="65"/>
      <c r="J54" s="65">
        <f>E51+K51+Q51-G51-M51-S51</f>
        <v>15231.046</v>
      </c>
      <c r="K54" s="65"/>
      <c r="L54" s="65"/>
      <c r="M54" s="65"/>
      <c r="N54" s="65"/>
      <c r="R54" s="65"/>
      <c r="T54" s="65"/>
    </row>
    <row r="55" spans="1:23" ht="44.25" customHeight="1">
      <c r="C55" s="88" t="s">
        <v>60</v>
      </c>
      <c r="D55" s="88"/>
      <c r="E55" s="88"/>
      <c r="F55" s="88"/>
      <c r="G55" s="88"/>
      <c r="H55" s="13"/>
      <c r="I55" s="15"/>
      <c r="J55" s="11">
        <f>H51+N51+T51</f>
        <v>147253.29089999996</v>
      </c>
      <c r="K55" s="13"/>
      <c r="L55" s="13"/>
      <c r="M55" s="16"/>
      <c r="N55" s="13"/>
      <c r="P55" s="9"/>
      <c r="Q55" s="17"/>
      <c r="U55" s="17"/>
    </row>
    <row r="56" spans="1:23" ht="24" customHeight="1">
      <c r="C56" s="65"/>
      <c r="D56" s="65"/>
      <c r="E56" s="65"/>
      <c r="F56" s="65"/>
      <c r="G56" s="65"/>
      <c r="H56" s="13"/>
      <c r="I56" s="15"/>
      <c r="J56" s="11"/>
      <c r="K56" s="13"/>
      <c r="L56" s="13"/>
      <c r="M56" s="16"/>
      <c r="N56" s="13"/>
      <c r="P56" s="9"/>
      <c r="Q56" s="17"/>
      <c r="U56" s="17"/>
    </row>
    <row r="57" spans="1:23" s="52" customFormat="1" ht="44.25" customHeight="1">
      <c r="B57" s="93" t="s">
        <v>74</v>
      </c>
      <c r="C57" s="93"/>
      <c r="D57" s="93"/>
      <c r="E57" s="93"/>
      <c r="F57" s="93"/>
      <c r="H57" s="53"/>
      <c r="I57" s="54" t="e">
        <f>#REF!+'[3]dec 2023'!H53</f>
        <v>#REF!</v>
      </c>
      <c r="J57" s="53"/>
      <c r="K57" s="55"/>
      <c r="L57" s="55"/>
      <c r="M57" s="56">
        <f>'[4]March 2022'!H55+'[3]dec 2023'!H53</f>
        <v>0</v>
      </c>
      <c r="Q57" s="93" t="s">
        <v>75</v>
      </c>
      <c r="R57" s="93"/>
      <c r="S57" s="93"/>
      <c r="T57" s="93"/>
      <c r="U57" s="93"/>
    </row>
    <row r="58" spans="1:23" s="52" customFormat="1" ht="29.25" customHeight="1">
      <c r="B58" s="93" t="s">
        <v>76</v>
      </c>
      <c r="C58" s="93"/>
      <c r="D58" s="93"/>
      <c r="E58" s="93"/>
      <c r="F58" s="93"/>
      <c r="G58" s="57"/>
      <c r="H58" s="58">
        <f>'[5]feb 2021'!H55+'[3]dec 2023'!H53</f>
        <v>0</v>
      </c>
      <c r="I58" s="57"/>
      <c r="J58" s="59"/>
      <c r="K58" s="55"/>
      <c r="L58" s="55"/>
      <c r="M58" s="55"/>
      <c r="Q58" s="93" t="s">
        <v>76</v>
      </c>
      <c r="R58" s="93"/>
      <c r="S58" s="93"/>
      <c r="T58" s="93"/>
      <c r="U58" s="93"/>
    </row>
    <row r="59" spans="1:23" s="52" customFormat="1" ht="27.75">
      <c r="B59" s="60"/>
      <c r="F59" s="61"/>
      <c r="I59" s="57"/>
      <c r="J59" s="61"/>
      <c r="Q59" s="62"/>
      <c r="R59" s="62"/>
      <c r="S59" s="67"/>
      <c r="T59" s="62"/>
      <c r="U59" s="62"/>
      <c r="V59" s="62"/>
      <c r="W59" s="62"/>
    </row>
    <row r="60" spans="1:23" s="52" customFormat="1" ht="39" customHeight="1">
      <c r="B60" s="60"/>
      <c r="G60" s="58">
        <f>'[5]May 2020'!H53+'[3]dec 2023'!H53</f>
        <v>0</v>
      </c>
      <c r="J60" s="92" t="s">
        <v>77</v>
      </c>
      <c r="K60" s="92"/>
      <c r="L60" s="92"/>
      <c r="O60" s="62"/>
      <c r="S60" s="61"/>
      <c r="U60" s="62"/>
      <c r="V60" s="62"/>
      <c r="W60" s="62"/>
    </row>
    <row r="61" spans="1:23" s="52" customFormat="1" ht="30.75" customHeight="1">
      <c r="B61" s="60"/>
      <c r="H61" s="53"/>
      <c r="J61" s="92" t="s">
        <v>78</v>
      </c>
      <c r="K61" s="92"/>
      <c r="L61" s="92"/>
      <c r="O61" s="62"/>
      <c r="S61" s="61"/>
      <c r="U61" s="62"/>
      <c r="V61" s="62"/>
      <c r="W61" s="62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W20:W23"/>
    <mergeCell ref="W29:W32"/>
    <mergeCell ref="H5:H6"/>
    <mergeCell ref="I5:I6"/>
    <mergeCell ref="J5:K5"/>
    <mergeCell ref="L5:M5"/>
    <mergeCell ref="N5:N6"/>
    <mergeCell ref="O5:O6"/>
    <mergeCell ref="Q57:U57"/>
    <mergeCell ref="B58:F58"/>
    <mergeCell ref="Q58:U58"/>
    <mergeCell ref="P5:Q5"/>
    <mergeCell ref="R5:S5"/>
    <mergeCell ref="T5:T6"/>
    <mergeCell ref="U5:U6"/>
    <mergeCell ref="J60:L60"/>
    <mergeCell ref="J61:L61"/>
    <mergeCell ref="C53:G53"/>
    <mergeCell ref="C54:G54"/>
    <mergeCell ref="C55:G55"/>
    <mergeCell ref="B57:F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opLeftCell="A43" zoomScale="39" zoomScaleNormal="39" workbookViewId="0">
      <selection activeCell="J59" sqref="J59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78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36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77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76" t="s">
        <v>11</v>
      </c>
      <c r="E6" s="76" t="s">
        <v>12</v>
      </c>
      <c r="F6" s="76" t="s">
        <v>11</v>
      </c>
      <c r="G6" s="76" t="s">
        <v>12</v>
      </c>
      <c r="H6" s="82"/>
      <c r="I6" s="85"/>
      <c r="J6" s="76" t="s">
        <v>11</v>
      </c>
      <c r="K6" s="76" t="s">
        <v>12</v>
      </c>
      <c r="L6" s="76" t="s">
        <v>11</v>
      </c>
      <c r="M6" s="76" t="s">
        <v>12</v>
      </c>
      <c r="N6" s="82"/>
      <c r="O6" s="85"/>
      <c r="P6" s="76" t="s">
        <v>11</v>
      </c>
      <c r="Q6" s="76" t="s">
        <v>12</v>
      </c>
      <c r="R6" s="76" t="s">
        <v>11</v>
      </c>
      <c r="S6" s="76" t="s">
        <v>12</v>
      </c>
      <c r="T6" s="82"/>
      <c r="U6" s="82"/>
    </row>
    <row r="7" spans="1:22" ht="38.25" customHeight="1">
      <c r="A7" s="77">
        <v>1</v>
      </c>
      <c r="B7" s="80" t="s">
        <v>13</v>
      </c>
      <c r="C7" s="3">
        <f>'feb 2024'!H7</f>
        <v>7.179999999999982</v>
      </c>
      <c r="D7" s="3">
        <v>0</v>
      </c>
      <c r="E7" s="3">
        <f>'feb 2024'!E7+'March 2024'!D7</f>
        <v>0</v>
      </c>
      <c r="F7" s="3">
        <v>0</v>
      </c>
      <c r="G7" s="3">
        <f>'feb 2024'!G7+'March 2024'!F7</f>
        <v>0</v>
      </c>
      <c r="H7" s="3">
        <f>C7+D7-F7</f>
        <v>7.179999999999982</v>
      </c>
      <c r="I7" s="3">
        <f>'feb 2024'!N7</f>
        <v>733.58199999999977</v>
      </c>
      <c r="J7" s="3">
        <f>1.01+0.03</f>
        <v>1.04</v>
      </c>
      <c r="K7" s="3">
        <f>'feb 2024'!K7+'March 2024'!J7</f>
        <v>20.165000000000003</v>
      </c>
      <c r="L7" s="3">
        <v>0</v>
      </c>
      <c r="M7" s="3">
        <f>'feb 2024'!M7+'March 2024'!L7</f>
        <v>0</v>
      </c>
      <c r="N7" s="3">
        <f>I7+J7-L7</f>
        <v>734.62199999999973</v>
      </c>
      <c r="O7" s="3">
        <f>'feb 2024'!T7</f>
        <v>8.436000000000007</v>
      </c>
      <c r="P7" s="3">
        <v>0</v>
      </c>
      <c r="Q7" s="3">
        <f>'feb 2024'!Q7+'March 2024'!P7</f>
        <v>0</v>
      </c>
      <c r="R7" s="3">
        <v>0</v>
      </c>
      <c r="S7" s="3">
        <f>'feb 2024'!S7+'March 2024'!R7</f>
        <v>0</v>
      </c>
      <c r="T7" s="3">
        <f>O7+P7-R7</f>
        <v>8.436000000000007</v>
      </c>
      <c r="U7" s="3">
        <f>H7+N7+T7</f>
        <v>750.23799999999972</v>
      </c>
    </row>
    <row r="8" spans="1:22" ht="38.25" customHeight="1">
      <c r="A8" s="77">
        <v>2</v>
      </c>
      <c r="B8" s="80" t="s">
        <v>14</v>
      </c>
      <c r="C8" s="3">
        <f>'feb 2024'!H8</f>
        <v>265.98999999999995</v>
      </c>
      <c r="D8" s="3">
        <v>0</v>
      </c>
      <c r="E8" s="3">
        <f>'feb 2024'!E8+'March 2024'!D8</f>
        <v>0</v>
      </c>
      <c r="F8" s="3">
        <v>0</v>
      </c>
      <c r="G8" s="3">
        <f>'feb 2024'!G8+'March 2024'!F8</f>
        <v>0</v>
      </c>
      <c r="H8" s="3">
        <f>C8+D8-F8</f>
        <v>265.98999999999995</v>
      </c>
      <c r="I8" s="3">
        <f>'feb 2024'!N8</f>
        <v>505.61100000000016</v>
      </c>
      <c r="J8" s="3">
        <v>2.37</v>
      </c>
      <c r="K8" s="3">
        <f>'feb 2024'!K8+'March 2024'!J8</f>
        <v>109.83500000000001</v>
      </c>
      <c r="L8" s="3">
        <v>0</v>
      </c>
      <c r="M8" s="3">
        <f>'feb 2024'!M8+'March 2024'!L8</f>
        <v>0</v>
      </c>
      <c r="N8" s="3">
        <f>I8+J8-L8</f>
        <v>507.98100000000017</v>
      </c>
      <c r="O8" s="3">
        <f>'feb 2024'!T8</f>
        <v>66.290000000000006</v>
      </c>
      <c r="P8" s="3">
        <v>0</v>
      </c>
      <c r="Q8" s="3">
        <f>'feb 2024'!Q8+'March 2024'!P8</f>
        <v>0</v>
      </c>
      <c r="R8" s="3">
        <v>0</v>
      </c>
      <c r="S8" s="3">
        <f>'feb 2024'!S8+'March 2024'!R8</f>
        <v>0</v>
      </c>
      <c r="T8" s="3">
        <f>O8+P8-R8</f>
        <v>66.290000000000006</v>
      </c>
      <c r="U8" s="3">
        <f>H8+N8+T8</f>
        <v>840.26100000000008</v>
      </c>
    </row>
    <row r="9" spans="1:22" ht="38.25" customHeight="1">
      <c r="A9" s="77">
        <v>3</v>
      </c>
      <c r="B9" s="80" t="s">
        <v>15</v>
      </c>
      <c r="C9" s="3">
        <f>'feb 2024'!H9</f>
        <v>209.16</v>
      </c>
      <c r="D9" s="3">
        <v>0</v>
      </c>
      <c r="E9" s="3">
        <f>'feb 2024'!E9+'March 2024'!D9</f>
        <v>0</v>
      </c>
      <c r="F9" s="3">
        <v>0</v>
      </c>
      <c r="G9" s="3">
        <f>'feb 2024'!G9+'March 2024'!F9</f>
        <v>0</v>
      </c>
      <c r="H9" s="3">
        <f>C9+D9-F9</f>
        <v>209.16</v>
      </c>
      <c r="I9" s="3">
        <f>'feb 2024'!N9</f>
        <v>964.10799999999995</v>
      </c>
      <c r="J9" s="3">
        <v>3.62</v>
      </c>
      <c r="K9" s="3">
        <f>'feb 2024'!K9+'March 2024'!J9</f>
        <v>64.77</v>
      </c>
      <c r="L9" s="3">
        <v>0</v>
      </c>
      <c r="M9" s="3">
        <f>'feb 2024'!M9+'March 2024'!L9</f>
        <v>0.28999999999999998</v>
      </c>
      <c r="N9" s="3">
        <f>I9+J9-L9</f>
        <v>967.72799999999995</v>
      </c>
      <c r="O9" s="3">
        <f>'feb 2024'!T9</f>
        <v>44.739999999999995</v>
      </c>
      <c r="P9" s="3">
        <v>0</v>
      </c>
      <c r="Q9" s="3">
        <f>'feb 2024'!Q9+'March 2024'!P9</f>
        <v>0</v>
      </c>
      <c r="R9" s="3">
        <v>0</v>
      </c>
      <c r="S9" s="3">
        <f>'feb 2024'!S9+'March 2024'!R9</f>
        <v>0</v>
      </c>
      <c r="T9" s="3">
        <f>O9+P9-R9</f>
        <v>44.739999999999995</v>
      </c>
      <c r="U9" s="3">
        <f>H9+N9+T9</f>
        <v>1221.6279999999999</v>
      </c>
    </row>
    <row r="10" spans="1:22" s="4" customFormat="1" ht="38.25" customHeight="1">
      <c r="A10" s="77">
        <v>4</v>
      </c>
      <c r="B10" s="80" t="s">
        <v>16</v>
      </c>
      <c r="C10" s="3">
        <f>'feb 2024'!H10</f>
        <v>0</v>
      </c>
      <c r="D10" s="3">
        <v>0</v>
      </c>
      <c r="E10" s="3">
        <f>'feb 2024'!E10+'March 2024'!D10</f>
        <v>0</v>
      </c>
      <c r="F10" s="3">
        <v>0</v>
      </c>
      <c r="G10" s="3">
        <f>'feb 2024'!G10+'March 2024'!F10</f>
        <v>0</v>
      </c>
      <c r="H10" s="3">
        <f>C10+D10-F10</f>
        <v>0</v>
      </c>
      <c r="I10" s="3">
        <f>'feb 2024'!N10</f>
        <v>375.27599999999984</v>
      </c>
      <c r="J10" s="3">
        <v>0.54</v>
      </c>
      <c r="K10" s="3">
        <f>'feb 2024'!K10+'March 2024'!J10</f>
        <v>10.843</v>
      </c>
      <c r="L10" s="3">
        <v>0</v>
      </c>
      <c r="M10" s="3">
        <f>'feb 2024'!M10+'March 2024'!L10</f>
        <v>0</v>
      </c>
      <c r="N10" s="3">
        <f>I10+J10-L10</f>
        <v>375.81599999999986</v>
      </c>
      <c r="O10" s="3">
        <f>'feb 2024'!T10</f>
        <v>0.20000000000000007</v>
      </c>
      <c r="P10" s="3">
        <v>0</v>
      </c>
      <c r="Q10" s="3">
        <f>'feb 2024'!Q10+'March 2024'!P10</f>
        <v>0</v>
      </c>
      <c r="R10" s="3">
        <v>0</v>
      </c>
      <c r="S10" s="3">
        <f>'feb 2024'!S10+'March 2024'!R10</f>
        <v>0</v>
      </c>
      <c r="T10" s="3">
        <f>O10+P10-R10</f>
        <v>0.20000000000000007</v>
      </c>
      <c r="U10" s="3">
        <f>H10+N10+T10</f>
        <v>376.01599999999985</v>
      </c>
    </row>
    <row r="11" spans="1:22" s="4" customFormat="1" ht="38.25" customHeight="1">
      <c r="A11" s="76"/>
      <c r="B11" s="79" t="s">
        <v>17</v>
      </c>
      <c r="C11" s="5">
        <f>SUM(C7:C10)</f>
        <v>482.32999999999993</v>
      </c>
      <c r="D11" s="5">
        <f t="shared" ref="D11:U11" si="0">SUM(D7:D10)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482.32999999999993</v>
      </c>
      <c r="I11" s="5">
        <f t="shared" si="0"/>
        <v>2578.5769999999998</v>
      </c>
      <c r="J11" s="5">
        <f t="shared" si="0"/>
        <v>7.57</v>
      </c>
      <c r="K11" s="5">
        <f t="shared" si="0"/>
        <v>205.61299999999997</v>
      </c>
      <c r="L11" s="5">
        <f t="shared" si="0"/>
        <v>0</v>
      </c>
      <c r="M11" s="5">
        <f t="shared" si="0"/>
        <v>0.28999999999999998</v>
      </c>
      <c r="N11" s="5">
        <f t="shared" si="0"/>
        <v>2586.1469999999995</v>
      </c>
      <c r="O11" s="5">
        <f t="shared" si="0"/>
        <v>119.66600000000001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119.66600000000001</v>
      </c>
      <c r="U11" s="5">
        <f t="shared" si="0"/>
        <v>3188.1429999999991</v>
      </c>
      <c r="V11" s="75"/>
    </row>
    <row r="12" spans="1:22" ht="38.25" customHeight="1">
      <c r="A12" s="77">
        <v>5</v>
      </c>
      <c r="B12" s="80" t="s">
        <v>18</v>
      </c>
      <c r="C12" s="3">
        <f>'feb 2024'!H12</f>
        <v>22.179999999999609</v>
      </c>
      <c r="D12" s="3">
        <v>0</v>
      </c>
      <c r="E12" s="3">
        <f>'feb 2024'!E12+'March 2024'!D12</f>
        <v>0</v>
      </c>
      <c r="F12" s="3">
        <v>0</v>
      </c>
      <c r="G12" s="3">
        <f>'feb 2024'!G12+'March 2024'!F12</f>
        <v>0</v>
      </c>
      <c r="H12" s="3">
        <f>C12+D12-F12</f>
        <v>22.179999999999609</v>
      </c>
      <c r="I12" s="3">
        <f>'feb 2024'!N12</f>
        <v>1302.2949999999998</v>
      </c>
      <c r="J12" s="25">
        <v>1.77</v>
      </c>
      <c r="K12" s="3">
        <f>'feb 2024'!K12+'March 2024'!J12</f>
        <v>27.63</v>
      </c>
      <c r="L12" s="3">
        <v>0</v>
      </c>
      <c r="M12" s="3">
        <f>'feb 2024'!M12+'March 2024'!L12</f>
        <v>0</v>
      </c>
      <c r="N12" s="3">
        <f>I12+J12-L12</f>
        <v>1304.0649999999998</v>
      </c>
      <c r="O12" s="3">
        <f>'feb 2024'!T12</f>
        <v>1.9700000000000095</v>
      </c>
      <c r="P12" s="3">
        <v>0</v>
      </c>
      <c r="Q12" s="3">
        <f>'feb 2024'!Q12+'March 2024'!P12</f>
        <v>0</v>
      </c>
      <c r="R12" s="3">
        <v>0</v>
      </c>
      <c r="S12" s="3">
        <f>'feb 2024'!S12+'March 2024'!R12</f>
        <v>0</v>
      </c>
      <c r="T12" s="3">
        <f>O12+P12-R12</f>
        <v>1.9700000000000095</v>
      </c>
      <c r="U12" s="3">
        <f>H12+N12+T12</f>
        <v>1328.2149999999995</v>
      </c>
    </row>
    <row r="13" spans="1:22" ht="38.25" customHeight="1">
      <c r="A13" s="77">
        <v>6</v>
      </c>
      <c r="B13" s="80" t="s">
        <v>19</v>
      </c>
      <c r="C13" s="3">
        <f>'feb 2024'!H13</f>
        <v>312.23000000000013</v>
      </c>
      <c r="D13" s="3">
        <v>0</v>
      </c>
      <c r="E13" s="3">
        <f>'feb 2024'!E13+'March 2024'!D13</f>
        <v>0</v>
      </c>
      <c r="F13" s="3">
        <v>0</v>
      </c>
      <c r="G13" s="3">
        <f>'feb 2024'!G13+'March 2024'!F13</f>
        <v>0</v>
      </c>
      <c r="H13" s="3">
        <f>C13+D13-F13</f>
        <v>312.23000000000013</v>
      </c>
      <c r="I13" s="3">
        <f>'feb 2024'!N13</f>
        <v>564.70200000000011</v>
      </c>
      <c r="J13" s="25">
        <v>2.25</v>
      </c>
      <c r="K13" s="3">
        <f>'feb 2024'!K13+'March 2024'!J13</f>
        <v>21.42</v>
      </c>
      <c r="L13" s="3">
        <v>0</v>
      </c>
      <c r="M13" s="3">
        <f>'feb 2024'!M13+'March 2024'!L13</f>
        <v>0</v>
      </c>
      <c r="N13" s="3">
        <f>I13+J13-L13</f>
        <v>566.95200000000011</v>
      </c>
      <c r="O13" s="3">
        <f>'feb 2024'!T13</f>
        <v>68.39</v>
      </c>
      <c r="P13" s="3">
        <v>0</v>
      </c>
      <c r="Q13" s="3">
        <f>'feb 2024'!Q13+'March 2024'!P13</f>
        <v>0</v>
      </c>
      <c r="R13" s="3">
        <v>0</v>
      </c>
      <c r="S13" s="3">
        <f>'feb 2024'!S13+'March 2024'!R13</f>
        <v>0</v>
      </c>
      <c r="T13" s="3">
        <f>O13+P13-R13</f>
        <v>68.39</v>
      </c>
      <c r="U13" s="3">
        <f>H13+N13+T13</f>
        <v>947.57200000000023</v>
      </c>
    </row>
    <row r="14" spans="1:22" s="4" customFormat="1" ht="38.25" customHeight="1">
      <c r="A14" s="77">
        <v>7</v>
      </c>
      <c r="B14" s="80" t="s">
        <v>20</v>
      </c>
      <c r="C14" s="3">
        <f>'feb 2024'!H14</f>
        <v>1211.4399999999994</v>
      </c>
      <c r="D14" s="3">
        <v>0</v>
      </c>
      <c r="E14" s="3">
        <f>'feb 2024'!E14+'March 2024'!D14</f>
        <v>0</v>
      </c>
      <c r="F14" s="3">
        <v>0</v>
      </c>
      <c r="G14" s="3">
        <f>'feb 2024'!G14+'March 2024'!F14</f>
        <v>5</v>
      </c>
      <c r="H14" s="3">
        <f>C14+D14-F14</f>
        <v>1211.4399999999994</v>
      </c>
      <c r="I14" s="3">
        <f>'feb 2024'!N14</f>
        <v>948.77800000000036</v>
      </c>
      <c r="J14" s="25">
        <v>1.17</v>
      </c>
      <c r="K14" s="3">
        <f>'feb 2024'!K14+'March 2024'!J14</f>
        <v>46.45</v>
      </c>
      <c r="L14" s="3">
        <v>0</v>
      </c>
      <c r="M14" s="3">
        <f>'feb 2024'!M14+'March 2024'!L14</f>
        <v>0</v>
      </c>
      <c r="N14" s="3">
        <f>I14+J14-L14</f>
        <v>949.94800000000032</v>
      </c>
      <c r="O14" s="3">
        <f>'feb 2024'!T14</f>
        <v>61.329999999999991</v>
      </c>
      <c r="P14" s="3">
        <v>0</v>
      </c>
      <c r="Q14" s="3">
        <f>'feb 2024'!Q14+'March 2024'!P14</f>
        <v>0</v>
      </c>
      <c r="R14" s="3">
        <v>0</v>
      </c>
      <c r="S14" s="3">
        <f>'feb 2024'!S14+'March 2024'!R14</f>
        <v>0</v>
      </c>
      <c r="T14" s="3">
        <f>O14+P14-R14</f>
        <v>61.329999999999991</v>
      </c>
      <c r="U14" s="3">
        <f>H14+N14+T14</f>
        <v>2222.7179999999998</v>
      </c>
    </row>
    <row r="15" spans="1:22" s="4" customFormat="1" ht="38.25" customHeight="1">
      <c r="A15" s="76"/>
      <c r="B15" s="79" t="s">
        <v>21</v>
      </c>
      <c r="C15" s="5">
        <f>SUM(C12:C14)</f>
        <v>1545.849999999999</v>
      </c>
      <c r="D15" s="5">
        <f t="shared" ref="D15:U15" si="1">SUM(D12:D14)</f>
        <v>0</v>
      </c>
      <c r="E15" s="5">
        <f t="shared" si="1"/>
        <v>0</v>
      </c>
      <c r="F15" s="5">
        <f t="shared" si="1"/>
        <v>0</v>
      </c>
      <c r="G15" s="5">
        <f t="shared" si="1"/>
        <v>5</v>
      </c>
      <c r="H15" s="5">
        <f t="shared" si="1"/>
        <v>1545.849999999999</v>
      </c>
      <c r="I15" s="5">
        <f t="shared" si="1"/>
        <v>2815.7750000000001</v>
      </c>
      <c r="J15" s="5">
        <f t="shared" si="1"/>
        <v>5.1899999999999995</v>
      </c>
      <c r="K15" s="5">
        <f t="shared" si="1"/>
        <v>95.5</v>
      </c>
      <c r="L15" s="5">
        <f t="shared" si="1"/>
        <v>0</v>
      </c>
      <c r="M15" s="5">
        <f t="shared" si="1"/>
        <v>0</v>
      </c>
      <c r="N15" s="5">
        <f t="shared" si="1"/>
        <v>2820.9650000000001</v>
      </c>
      <c r="O15" s="5">
        <f t="shared" si="1"/>
        <v>131.69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131.69</v>
      </c>
      <c r="U15" s="5">
        <f t="shared" si="1"/>
        <v>4498.5049999999992</v>
      </c>
      <c r="V15" s="75"/>
    </row>
    <row r="16" spans="1:22" ht="38.25" customHeight="1">
      <c r="A16" s="77">
        <v>8</v>
      </c>
      <c r="B16" s="80" t="s">
        <v>22</v>
      </c>
      <c r="C16" s="3">
        <f>'feb 2024'!H16</f>
        <v>766.2140000000004</v>
      </c>
      <c r="D16" s="3">
        <v>0.39</v>
      </c>
      <c r="E16" s="3">
        <f>'feb 2024'!E16+'March 2024'!D16</f>
        <v>17.679999999999996</v>
      </c>
      <c r="F16" s="3">
        <v>0</v>
      </c>
      <c r="G16" s="3">
        <f>'feb 2024'!G16+'March 2024'!F16</f>
        <v>7.24</v>
      </c>
      <c r="H16" s="3">
        <f>C16+D16-F16</f>
        <v>766.60400000000038</v>
      </c>
      <c r="I16" s="3">
        <f>'feb 2024'!N16</f>
        <v>592.73600000000022</v>
      </c>
      <c r="J16" s="3">
        <v>5.65</v>
      </c>
      <c r="K16" s="3">
        <f>'feb 2024'!K16+'March 2024'!J16</f>
        <v>21.410000000000004</v>
      </c>
      <c r="L16" s="3">
        <v>0</v>
      </c>
      <c r="M16" s="3">
        <f>'feb 2024'!M16+'March 2024'!L16</f>
        <v>0</v>
      </c>
      <c r="N16" s="3">
        <f>I16+J16-L16</f>
        <v>598.38600000000019</v>
      </c>
      <c r="O16" s="3">
        <f>'feb 2024'!T16</f>
        <v>59.262000000000043</v>
      </c>
      <c r="P16" s="3">
        <v>0</v>
      </c>
      <c r="Q16" s="3">
        <f>'feb 2024'!Q16+'March 2024'!P16</f>
        <v>0.19</v>
      </c>
      <c r="R16" s="3">
        <v>0</v>
      </c>
      <c r="S16" s="3">
        <f>'feb 2024'!S16+'March 2024'!R16</f>
        <v>118.37</v>
      </c>
      <c r="T16" s="3">
        <f>O16+P16-R16</f>
        <v>59.262000000000043</v>
      </c>
      <c r="U16" s="3">
        <f>H16+N16+T16</f>
        <v>1424.2520000000006</v>
      </c>
    </row>
    <row r="17" spans="1:23" ht="61.5" customHeight="1">
      <c r="A17" s="77">
        <v>9</v>
      </c>
      <c r="B17" s="80" t="s">
        <v>23</v>
      </c>
      <c r="C17" s="3">
        <f>'feb 2024'!H17</f>
        <v>0.19599999999994777</v>
      </c>
      <c r="D17" s="3">
        <v>0</v>
      </c>
      <c r="E17" s="3">
        <f>'feb 2024'!E17+'March 2024'!D17</f>
        <v>0.05</v>
      </c>
      <c r="F17" s="3">
        <v>0</v>
      </c>
      <c r="G17" s="3">
        <f>'feb 2024'!G17+'March 2024'!F17</f>
        <v>2.5299999999999998</v>
      </c>
      <c r="H17" s="3">
        <f>C17+D17-F17</f>
        <v>0.19599999999994777</v>
      </c>
      <c r="I17" s="3">
        <f>'feb 2024'!N17</f>
        <v>613.5</v>
      </c>
      <c r="J17" s="3">
        <v>0.59</v>
      </c>
      <c r="K17" s="3">
        <f>'feb 2024'!K17+'March 2024'!J17</f>
        <v>25.4</v>
      </c>
      <c r="L17" s="3">
        <v>0</v>
      </c>
      <c r="M17" s="3">
        <f>'feb 2024'!M17+'March 2024'!L17</f>
        <v>0.43</v>
      </c>
      <c r="N17" s="3">
        <f>I17+J17-L17</f>
        <v>614.09</v>
      </c>
      <c r="O17" s="3">
        <f>'feb 2024'!T17</f>
        <v>1.5399999999999998</v>
      </c>
      <c r="P17" s="3">
        <v>0</v>
      </c>
      <c r="Q17" s="3">
        <f>'feb 2024'!Q17+'March 2024'!P17</f>
        <v>1.22</v>
      </c>
      <c r="R17" s="3">
        <v>0</v>
      </c>
      <c r="S17" s="3">
        <f>'feb 2024'!S17+'March 2024'!R17</f>
        <v>1.63</v>
      </c>
      <c r="T17" s="3">
        <f>O17+P17-R17</f>
        <v>1.5399999999999998</v>
      </c>
      <c r="U17" s="3">
        <f>H17+N17+T17</f>
        <v>615.82599999999991</v>
      </c>
    </row>
    <row r="18" spans="1:23" s="4" customFormat="1" ht="38.25" customHeight="1">
      <c r="A18" s="77">
        <v>10</v>
      </c>
      <c r="B18" s="80" t="s">
        <v>24</v>
      </c>
      <c r="C18" s="3">
        <f>'feb 2024'!H18</f>
        <v>90.266000000000147</v>
      </c>
      <c r="D18" s="3">
        <v>0</v>
      </c>
      <c r="E18" s="3">
        <f>'feb 2024'!E18+'March 2024'!D18</f>
        <v>0.05</v>
      </c>
      <c r="F18" s="3">
        <v>0</v>
      </c>
      <c r="G18" s="3">
        <f>'feb 2024'!G18+'March 2024'!F18</f>
        <v>0.05</v>
      </c>
      <c r="H18" s="3">
        <f>C18+D18-F18</f>
        <v>90.266000000000147</v>
      </c>
      <c r="I18" s="3">
        <f>'feb 2024'!N18</f>
        <v>625.85000000000014</v>
      </c>
      <c r="J18" s="3">
        <v>0.91</v>
      </c>
      <c r="K18" s="3">
        <f>'feb 2024'!K18+'March 2024'!J18</f>
        <v>15.604999999999999</v>
      </c>
      <c r="L18" s="3">
        <v>0</v>
      </c>
      <c r="M18" s="3">
        <f>'feb 2024'!M18+'March 2024'!L18</f>
        <v>6.1400000000000006</v>
      </c>
      <c r="N18" s="3">
        <f>I18+J18-L18</f>
        <v>626.7600000000001</v>
      </c>
      <c r="O18" s="3">
        <f>'feb 2024'!T18</f>
        <v>35.689999999999991</v>
      </c>
      <c r="P18" s="3">
        <v>0</v>
      </c>
      <c r="Q18" s="3">
        <f>'feb 2024'!Q18+'March 2024'!P18</f>
        <v>0</v>
      </c>
      <c r="R18" s="3">
        <v>0</v>
      </c>
      <c r="S18" s="3">
        <f>'feb 2024'!S18+'March 2024'!R18</f>
        <v>0</v>
      </c>
      <c r="T18" s="3">
        <f>O18+P18-R18</f>
        <v>35.689999999999991</v>
      </c>
      <c r="U18" s="3">
        <f>H18+N18+T18</f>
        <v>752.71600000000024</v>
      </c>
    </row>
    <row r="19" spans="1:23" s="4" customFormat="1" ht="38.25" customHeight="1">
      <c r="A19" s="76"/>
      <c r="B19" s="79" t="s">
        <v>25</v>
      </c>
      <c r="C19" s="5">
        <f>SUM(C16:C18)</f>
        <v>856.6760000000005</v>
      </c>
      <c r="D19" s="5">
        <f t="shared" ref="D19:U19" si="2">SUM(D16:D18)</f>
        <v>0.39</v>
      </c>
      <c r="E19" s="5">
        <f t="shared" si="2"/>
        <v>17.779999999999998</v>
      </c>
      <c r="F19" s="5">
        <f t="shared" si="2"/>
        <v>0</v>
      </c>
      <c r="G19" s="5">
        <f t="shared" si="2"/>
        <v>9.82</v>
      </c>
      <c r="H19" s="5">
        <f t="shared" si="2"/>
        <v>857.06600000000049</v>
      </c>
      <c r="I19" s="5">
        <f t="shared" si="2"/>
        <v>1832.0860000000005</v>
      </c>
      <c r="J19" s="5">
        <f t="shared" si="2"/>
        <v>7.15</v>
      </c>
      <c r="K19" s="5">
        <f t="shared" si="2"/>
        <v>62.414999999999999</v>
      </c>
      <c r="L19" s="5">
        <f t="shared" si="2"/>
        <v>0</v>
      </c>
      <c r="M19" s="5">
        <f t="shared" si="2"/>
        <v>6.57</v>
      </c>
      <c r="N19" s="5">
        <f t="shared" si="2"/>
        <v>1839.2360000000003</v>
      </c>
      <c r="O19" s="5">
        <f t="shared" si="2"/>
        <v>96.492000000000033</v>
      </c>
      <c r="P19" s="5">
        <f t="shared" si="2"/>
        <v>0</v>
      </c>
      <c r="Q19" s="5">
        <f t="shared" si="2"/>
        <v>1.41</v>
      </c>
      <c r="R19" s="5">
        <f t="shared" si="2"/>
        <v>0</v>
      </c>
      <c r="S19" s="5">
        <f t="shared" si="2"/>
        <v>120</v>
      </c>
      <c r="T19" s="5">
        <f t="shared" si="2"/>
        <v>96.492000000000033</v>
      </c>
      <c r="U19" s="5">
        <f t="shared" si="2"/>
        <v>2792.7940000000008</v>
      </c>
    </row>
    <row r="20" spans="1:23" ht="38.25" customHeight="1">
      <c r="A20" s="77">
        <v>11</v>
      </c>
      <c r="B20" s="80" t="s">
        <v>26</v>
      </c>
      <c r="C20" s="3">
        <f>'feb 2024'!H20</f>
        <v>607.42999999999984</v>
      </c>
      <c r="D20" s="3">
        <v>0</v>
      </c>
      <c r="E20" s="3">
        <f>'feb 2024'!E20+'March 2024'!D20</f>
        <v>0</v>
      </c>
      <c r="F20" s="3">
        <v>0</v>
      </c>
      <c r="G20" s="3">
        <f>'feb 2024'!G20+'March 2024'!F20</f>
        <v>0</v>
      </c>
      <c r="H20" s="3">
        <f>C20+D20-F20</f>
        <v>607.42999999999984</v>
      </c>
      <c r="I20" s="3">
        <f>'feb 2024'!N20</f>
        <v>784.30800000000022</v>
      </c>
      <c r="J20" s="3">
        <v>1.21</v>
      </c>
      <c r="K20" s="3">
        <f>'feb 2024'!K20+'March 2024'!J20</f>
        <v>37.130000000000003</v>
      </c>
      <c r="L20" s="3">
        <v>0</v>
      </c>
      <c r="M20" s="3">
        <f>'feb 2024'!M20+'March 2024'!L20</f>
        <v>0.02</v>
      </c>
      <c r="N20" s="3">
        <f>I20+J20-L20</f>
        <v>785.51800000000026</v>
      </c>
      <c r="O20" s="3">
        <f>'feb 2024'!T20</f>
        <v>37.580000000000005</v>
      </c>
      <c r="P20" s="3">
        <v>0</v>
      </c>
      <c r="Q20" s="3">
        <f>'feb 2024'!Q20+'March 2024'!P20</f>
        <v>0</v>
      </c>
      <c r="R20" s="3">
        <v>0</v>
      </c>
      <c r="S20" s="3">
        <f>'feb 2024'!S20+'March 2024'!R20</f>
        <v>0</v>
      </c>
      <c r="T20" s="3">
        <f>O20+P20-R20</f>
        <v>37.580000000000005</v>
      </c>
      <c r="U20" s="3">
        <f>H20+N20+T20</f>
        <v>1430.528</v>
      </c>
      <c r="W20" s="90"/>
    </row>
    <row r="21" spans="1:23" ht="38.25" customHeight="1">
      <c r="A21" s="77">
        <v>12</v>
      </c>
      <c r="B21" s="80" t="s">
        <v>27</v>
      </c>
      <c r="C21" s="3">
        <f>'feb 2024'!H21</f>
        <v>1.2000000000000002</v>
      </c>
      <c r="D21" s="3">
        <v>0</v>
      </c>
      <c r="E21" s="3">
        <f>'feb 2024'!E21+'March 2024'!D21</f>
        <v>0</v>
      </c>
      <c r="F21" s="3">
        <v>0</v>
      </c>
      <c r="G21" s="3">
        <f>'feb 2024'!G21+'March 2024'!F21</f>
        <v>0.87</v>
      </c>
      <c r="H21" s="3">
        <f>C21+D21-F21</f>
        <v>1.2000000000000002</v>
      </c>
      <c r="I21" s="3">
        <f>'feb 2024'!N21</f>
        <v>472.96700000000016</v>
      </c>
      <c r="J21" s="3">
        <v>0.68</v>
      </c>
      <c r="K21" s="3">
        <f>'feb 2024'!K21+'March 2024'!J21</f>
        <v>12.240000000000002</v>
      </c>
      <c r="L21" s="3">
        <v>0</v>
      </c>
      <c r="M21" s="3">
        <f>'feb 2024'!M21+'March 2024'!L21</f>
        <v>0.02</v>
      </c>
      <c r="N21" s="3">
        <f>I21+J21-L21</f>
        <v>473.64700000000016</v>
      </c>
      <c r="O21" s="3">
        <f>'feb 2024'!T21</f>
        <v>2.649999999999995</v>
      </c>
      <c r="P21" s="3">
        <v>0</v>
      </c>
      <c r="Q21" s="3">
        <f>'feb 2024'!Q21+'March 2024'!P21</f>
        <v>0</v>
      </c>
      <c r="R21" s="3">
        <v>0</v>
      </c>
      <c r="S21" s="3">
        <f>'feb 2024'!S21+'March 2024'!R21</f>
        <v>16.239999999999998</v>
      </c>
      <c r="T21" s="3">
        <f>O21+P21-R21</f>
        <v>2.649999999999995</v>
      </c>
      <c r="U21" s="3">
        <f>H21+N21+T21</f>
        <v>477.49700000000013</v>
      </c>
      <c r="W21" s="90"/>
    </row>
    <row r="22" spans="1:23" s="4" customFormat="1" ht="38.25" customHeight="1">
      <c r="A22" s="77">
        <v>13</v>
      </c>
      <c r="B22" s="80" t="s">
        <v>28</v>
      </c>
      <c r="C22" s="3">
        <f>'feb 2024'!H22</f>
        <v>22.430000000000021</v>
      </c>
      <c r="D22" s="3">
        <v>0</v>
      </c>
      <c r="E22" s="3">
        <f>'feb 2024'!E22+'March 2024'!D22</f>
        <v>0</v>
      </c>
      <c r="F22" s="3">
        <v>0</v>
      </c>
      <c r="G22" s="3">
        <f>'feb 2024'!G22+'March 2024'!F22</f>
        <v>0</v>
      </c>
      <c r="H22" s="3">
        <f>C22+D22-F22</f>
        <v>22.430000000000021</v>
      </c>
      <c r="I22" s="3">
        <f>'feb 2024'!N22</f>
        <v>703.6</v>
      </c>
      <c r="J22" s="3">
        <v>0.18</v>
      </c>
      <c r="K22" s="3">
        <f>'feb 2024'!K22+'March 2024'!J22</f>
        <v>5.5600000000000005</v>
      </c>
      <c r="L22" s="3">
        <v>0</v>
      </c>
      <c r="M22" s="3">
        <f>'feb 2024'!M22+'March 2024'!L22</f>
        <v>0</v>
      </c>
      <c r="N22" s="3">
        <f>I22+J22-L22</f>
        <v>703.78</v>
      </c>
      <c r="O22" s="3">
        <f>'feb 2024'!T22</f>
        <v>0.60000000000000098</v>
      </c>
      <c r="P22" s="3">
        <v>0</v>
      </c>
      <c r="Q22" s="3">
        <f>'feb 2024'!Q22+'March 2024'!P22</f>
        <v>0</v>
      </c>
      <c r="R22" s="3">
        <v>0</v>
      </c>
      <c r="S22" s="3">
        <f>'feb 2024'!S22+'March 2024'!R22</f>
        <v>0</v>
      </c>
      <c r="T22" s="3">
        <f>O22+P22-R22</f>
        <v>0.60000000000000098</v>
      </c>
      <c r="U22" s="3">
        <f>H22+N22+T22</f>
        <v>726.81000000000006</v>
      </c>
      <c r="W22" s="90"/>
    </row>
    <row r="23" spans="1:23" s="4" customFormat="1" ht="38.25" customHeight="1">
      <c r="A23" s="77">
        <v>14</v>
      </c>
      <c r="B23" s="80" t="s">
        <v>29</v>
      </c>
      <c r="C23" s="3">
        <f>'feb 2024'!H23</f>
        <v>439.36999999999995</v>
      </c>
      <c r="D23" s="3">
        <v>0</v>
      </c>
      <c r="E23" s="3">
        <f>'feb 2024'!E23+'March 2024'!D23</f>
        <v>39.730000000000004</v>
      </c>
      <c r="F23" s="3">
        <v>0</v>
      </c>
      <c r="G23" s="3">
        <f>'feb 2024'!G23+'March 2024'!F23</f>
        <v>31</v>
      </c>
      <c r="H23" s="3">
        <f>C23+D23-F23</f>
        <v>439.36999999999995</v>
      </c>
      <c r="I23" s="3">
        <f>'feb 2024'!N23</f>
        <v>152.86499999999998</v>
      </c>
      <c r="J23" s="3">
        <v>0.2</v>
      </c>
      <c r="K23" s="3">
        <f>'feb 2024'!K23+'March 2024'!J23</f>
        <v>13.51</v>
      </c>
      <c r="L23" s="3">
        <v>0</v>
      </c>
      <c r="M23" s="3">
        <f>'feb 2024'!M23+'March 2024'!L23</f>
        <v>0</v>
      </c>
      <c r="N23" s="3">
        <f>I23+J23-L23</f>
        <v>153.06499999999997</v>
      </c>
      <c r="O23" s="3">
        <f>'feb 2024'!T23</f>
        <v>22.5</v>
      </c>
      <c r="P23" s="3">
        <v>0</v>
      </c>
      <c r="Q23" s="3">
        <f>'feb 2024'!Q23+'March 2024'!P23</f>
        <v>0</v>
      </c>
      <c r="R23" s="3">
        <v>0</v>
      </c>
      <c r="S23" s="3">
        <f>'feb 2024'!S23+'March 2024'!R23</f>
        <v>0</v>
      </c>
      <c r="T23" s="3">
        <f>O23+P23-R23</f>
        <v>22.5</v>
      </c>
      <c r="U23" s="3">
        <f>H23+N23+T23</f>
        <v>614.93499999999995</v>
      </c>
      <c r="W23" s="90"/>
    </row>
    <row r="24" spans="1:23" s="4" customFormat="1" ht="38.25" customHeight="1">
      <c r="A24" s="76"/>
      <c r="B24" s="79" t="s">
        <v>30</v>
      </c>
      <c r="C24" s="5">
        <f>SUM(C20:C23)</f>
        <v>1070.4299999999998</v>
      </c>
      <c r="D24" s="5">
        <f t="shared" ref="D24:U24" si="3">SUM(D20:D23)</f>
        <v>0</v>
      </c>
      <c r="E24" s="5">
        <f t="shared" si="3"/>
        <v>39.730000000000004</v>
      </c>
      <c r="F24" s="5">
        <f t="shared" si="3"/>
        <v>0</v>
      </c>
      <c r="G24" s="5">
        <f t="shared" si="3"/>
        <v>31.87</v>
      </c>
      <c r="H24" s="5">
        <f t="shared" si="3"/>
        <v>1070.4299999999998</v>
      </c>
      <c r="I24" s="5">
        <f t="shared" si="3"/>
        <v>2113.7400000000002</v>
      </c>
      <c r="J24" s="5">
        <f t="shared" si="3"/>
        <v>2.2700000000000005</v>
      </c>
      <c r="K24" s="5">
        <f t="shared" si="3"/>
        <v>68.440000000000012</v>
      </c>
      <c r="L24" s="5">
        <f t="shared" si="3"/>
        <v>0</v>
      </c>
      <c r="M24" s="5">
        <f t="shared" si="3"/>
        <v>0.04</v>
      </c>
      <c r="N24" s="5">
        <f t="shared" si="3"/>
        <v>2116.0100000000002</v>
      </c>
      <c r="O24" s="5">
        <f t="shared" si="3"/>
        <v>63.330000000000005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5">
        <f t="shared" si="3"/>
        <v>16.239999999999998</v>
      </c>
      <c r="T24" s="5">
        <f t="shared" si="3"/>
        <v>63.330000000000005</v>
      </c>
      <c r="U24" s="5">
        <f t="shared" si="3"/>
        <v>3249.77</v>
      </c>
    </row>
    <row r="25" spans="1:23" s="4" customFormat="1" ht="38.25" customHeight="1">
      <c r="A25" s="76"/>
      <c r="B25" s="79" t="s">
        <v>31</v>
      </c>
      <c r="C25" s="5">
        <f>C24+C19+C15+C11</f>
        <v>3955.2859999999991</v>
      </c>
      <c r="D25" s="5">
        <f t="shared" ref="D25:U25" si="4">D24+D19+D15+D11</f>
        <v>0.39</v>
      </c>
      <c r="E25" s="5">
        <f t="shared" si="4"/>
        <v>57.510000000000005</v>
      </c>
      <c r="F25" s="5">
        <f t="shared" si="4"/>
        <v>0</v>
      </c>
      <c r="G25" s="5">
        <f t="shared" si="4"/>
        <v>46.69</v>
      </c>
      <c r="H25" s="5">
        <f t="shared" si="4"/>
        <v>3955.6759999999995</v>
      </c>
      <c r="I25" s="5">
        <f t="shared" si="4"/>
        <v>9340.1779999999999</v>
      </c>
      <c r="J25" s="5">
        <f t="shared" si="4"/>
        <v>22.18</v>
      </c>
      <c r="K25" s="5">
        <f t="shared" si="4"/>
        <v>431.96799999999996</v>
      </c>
      <c r="L25" s="5">
        <f t="shared" si="4"/>
        <v>0</v>
      </c>
      <c r="M25" s="5">
        <f t="shared" si="4"/>
        <v>6.9</v>
      </c>
      <c r="N25" s="5">
        <f t="shared" si="4"/>
        <v>9362.3580000000002</v>
      </c>
      <c r="O25" s="5">
        <f t="shared" si="4"/>
        <v>411.17800000000005</v>
      </c>
      <c r="P25" s="5">
        <f t="shared" si="4"/>
        <v>0</v>
      </c>
      <c r="Q25" s="5">
        <f t="shared" si="4"/>
        <v>1.41</v>
      </c>
      <c r="R25" s="5">
        <f t="shared" si="4"/>
        <v>0</v>
      </c>
      <c r="S25" s="5">
        <f t="shared" si="4"/>
        <v>136.24</v>
      </c>
      <c r="T25" s="5">
        <f t="shared" si="4"/>
        <v>411.17800000000005</v>
      </c>
      <c r="U25" s="5">
        <f t="shared" si="4"/>
        <v>13729.212</v>
      </c>
    </row>
    <row r="26" spans="1:23" ht="38.25" customHeight="1">
      <c r="A26" s="77">
        <v>15</v>
      </c>
      <c r="B26" s="80" t="s">
        <v>32</v>
      </c>
      <c r="C26" s="3">
        <f>'feb 2024'!H26</f>
        <v>1684.4500000000003</v>
      </c>
      <c r="D26" s="3">
        <v>5.67</v>
      </c>
      <c r="E26" s="3">
        <f>'feb 2024'!E26+'March 2024'!D26</f>
        <v>61.83</v>
      </c>
      <c r="F26" s="3">
        <v>0</v>
      </c>
      <c r="G26" s="3">
        <f>'feb 2024'!G26+'March 2024'!F26</f>
        <v>0</v>
      </c>
      <c r="H26" s="3">
        <f>C26+D26-F26</f>
        <v>1690.1200000000003</v>
      </c>
      <c r="I26" s="3">
        <f>'feb 2024'!N26</f>
        <v>123.33</v>
      </c>
      <c r="J26" s="3">
        <v>0.15</v>
      </c>
      <c r="K26" s="3">
        <f>'feb 2024'!K26+'March 2024'!J26</f>
        <v>1.9300000000000002</v>
      </c>
      <c r="L26" s="3">
        <v>0</v>
      </c>
      <c r="M26" s="3">
        <f>'feb 2024'!M26+'March 2024'!L26</f>
        <v>0</v>
      </c>
      <c r="N26" s="3">
        <f>I26+J26-L26</f>
        <v>123.48</v>
      </c>
      <c r="O26" s="3">
        <f>'feb 2024'!T26</f>
        <v>16.489999999999998</v>
      </c>
      <c r="P26" s="3">
        <v>0</v>
      </c>
      <c r="Q26" s="3">
        <f>'feb 2024'!Q26+'March 2024'!P26</f>
        <v>0.12</v>
      </c>
      <c r="R26" s="3">
        <v>0</v>
      </c>
      <c r="S26" s="3">
        <f>'feb 2024'!S26+'March 2024'!R26</f>
        <v>0</v>
      </c>
      <c r="T26" s="3">
        <f>O26+P26-R26</f>
        <v>16.489999999999998</v>
      </c>
      <c r="U26" s="3">
        <f>H26+N26+T26</f>
        <v>1830.0900000000004</v>
      </c>
    </row>
    <row r="27" spans="1:23" s="4" customFormat="1" ht="38.25" customHeight="1">
      <c r="A27" s="77">
        <v>16</v>
      </c>
      <c r="B27" s="80" t="s">
        <v>33</v>
      </c>
      <c r="C27" s="3">
        <f>'feb 2024'!H27</f>
        <v>5761.3750000000036</v>
      </c>
      <c r="D27" s="3">
        <v>12.38</v>
      </c>
      <c r="E27" s="3">
        <f>'feb 2024'!E27+'March 2024'!D27</f>
        <v>88.4</v>
      </c>
      <c r="F27" s="3">
        <v>0</v>
      </c>
      <c r="G27" s="3">
        <f>'feb 2024'!G27+'March 2024'!F27</f>
        <v>0.02</v>
      </c>
      <c r="H27" s="3">
        <f>C27+D27-F27</f>
        <v>5773.7550000000037</v>
      </c>
      <c r="I27" s="3">
        <f>'feb 2024'!N27</f>
        <v>668.45799999999974</v>
      </c>
      <c r="J27" s="3">
        <v>4.97</v>
      </c>
      <c r="K27" s="3">
        <f>'feb 2024'!K27+'March 2024'!J27</f>
        <v>39.269999999999989</v>
      </c>
      <c r="L27" s="3">
        <v>0</v>
      </c>
      <c r="M27" s="3">
        <f>'feb 2024'!M27+'March 2024'!L27</f>
        <v>0.02</v>
      </c>
      <c r="N27" s="3">
        <f>I27+J27-L27</f>
        <v>673.42799999999977</v>
      </c>
      <c r="O27" s="3">
        <f>'feb 2024'!T27</f>
        <v>37.830000000000005</v>
      </c>
      <c r="P27" s="3">
        <v>0</v>
      </c>
      <c r="Q27" s="3">
        <f>'feb 2024'!Q27+'March 2024'!P27</f>
        <v>4.03</v>
      </c>
      <c r="R27" s="3">
        <v>0</v>
      </c>
      <c r="S27" s="3">
        <f>'feb 2024'!S27+'March 2024'!R27</f>
        <v>0</v>
      </c>
      <c r="T27" s="3">
        <f>O27+P27-R27</f>
        <v>37.830000000000005</v>
      </c>
      <c r="U27" s="3">
        <f>H27+N27+T27</f>
        <v>6485.0130000000036</v>
      </c>
    </row>
    <row r="28" spans="1:23" s="4" customFormat="1" ht="38.25" customHeight="1">
      <c r="A28" s="76"/>
      <c r="B28" s="79" t="s">
        <v>34</v>
      </c>
      <c r="C28" s="5">
        <f>SUM(C26:C27)</f>
        <v>7445.8250000000044</v>
      </c>
      <c r="D28" s="5">
        <f t="shared" ref="D28:U28" si="5">SUM(D26:D27)</f>
        <v>18.05</v>
      </c>
      <c r="E28" s="5">
        <f t="shared" si="5"/>
        <v>150.23000000000002</v>
      </c>
      <c r="F28" s="5">
        <f t="shared" si="5"/>
        <v>0</v>
      </c>
      <c r="G28" s="5">
        <f t="shared" si="5"/>
        <v>0.02</v>
      </c>
      <c r="H28" s="5">
        <f t="shared" si="5"/>
        <v>7463.8750000000036</v>
      </c>
      <c r="I28" s="5">
        <f t="shared" si="5"/>
        <v>791.78799999999978</v>
      </c>
      <c r="J28" s="5">
        <f t="shared" si="5"/>
        <v>5.12</v>
      </c>
      <c r="K28" s="5">
        <f t="shared" si="5"/>
        <v>41.199999999999989</v>
      </c>
      <c r="L28" s="5">
        <f t="shared" si="5"/>
        <v>0</v>
      </c>
      <c r="M28" s="5">
        <f t="shared" si="5"/>
        <v>0.02</v>
      </c>
      <c r="N28" s="5">
        <f t="shared" si="5"/>
        <v>796.90799999999979</v>
      </c>
      <c r="O28" s="5">
        <f t="shared" si="5"/>
        <v>54.320000000000007</v>
      </c>
      <c r="P28" s="5">
        <f t="shared" si="5"/>
        <v>0</v>
      </c>
      <c r="Q28" s="5">
        <f t="shared" si="5"/>
        <v>4.1500000000000004</v>
      </c>
      <c r="R28" s="5">
        <f t="shared" si="5"/>
        <v>0</v>
      </c>
      <c r="S28" s="5">
        <f t="shared" si="5"/>
        <v>0</v>
      </c>
      <c r="T28" s="5">
        <f t="shared" si="5"/>
        <v>54.320000000000007</v>
      </c>
      <c r="U28" s="5">
        <f t="shared" si="5"/>
        <v>8315.1030000000046</v>
      </c>
    </row>
    <row r="29" spans="1:23" ht="38.25" customHeight="1">
      <c r="A29" s="77">
        <v>17</v>
      </c>
      <c r="B29" s="80" t="s">
        <v>35</v>
      </c>
      <c r="C29" s="3">
        <f>'feb 2024'!H29</f>
        <v>5030.9300000000012</v>
      </c>
      <c r="D29" s="3">
        <v>6.58</v>
      </c>
      <c r="E29" s="3">
        <f>'feb 2024'!E29+'March 2024'!D29</f>
        <v>156.47200000000004</v>
      </c>
      <c r="F29" s="3">
        <v>0</v>
      </c>
      <c r="G29" s="3">
        <f>'feb 2024'!G29+'March 2024'!F29</f>
        <v>0</v>
      </c>
      <c r="H29" s="3">
        <f>C29+D29-F29</f>
        <v>5037.5100000000011</v>
      </c>
      <c r="I29" s="3">
        <f>'feb 2024'!N29</f>
        <v>127.11000000000001</v>
      </c>
      <c r="J29" s="3">
        <v>0.65</v>
      </c>
      <c r="K29" s="3">
        <f>'feb 2024'!K29+'March 2024'!J29</f>
        <v>6.23</v>
      </c>
      <c r="L29" s="3">
        <v>0</v>
      </c>
      <c r="M29" s="3">
        <f>'feb 2024'!M29+'March 2024'!L29</f>
        <v>0</v>
      </c>
      <c r="N29" s="3">
        <f>I29+J29-L29</f>
        <v>127.76000000000002</v>
      </c>
      <c r="O29" s="3">
        <f>'feb 2024'!T29</f>
        <v>34.52000000000001</v>
      </c>
      <c r="P29" s="3">
        <v>0</v>
      </c>
      <c r="Q29" s="3">
        <f>'feb 2024'!Q29+'March 2024'!P29</f>
        <v>0</v>
      </c>
      <c r="R29" s="3">
        <v>0</v>
      </c>
      <c r="S29" s="3">
        <f>'feb 2024'!S29+'March 2024'!R29</f>
        <v>0</v>
      </c>
      <c r="T29" s="3">
        <f>O29+P29-R29</f>
        <v>34.52000000000001</v>
      </c>
      <c r="U29" s="3">
        <f>H29+N29+T29</f>
        <v>5199.7900000000018</v>
      </c>
      <c r="W29" s="89"/>
    </row>
    <row r="30" spans="1:23" ht="54.75" customHeight="1">
      <c r="A30" s="77">
        <v>18</v>
      </c>
      <c r="B30" s="80" t="s">
        <v>36</v>
      </c>
      <c r="C30" s="3">
        <f>'feb 2024'!H30</f>
        <v>3784.3639999999991</v>
      </c>
      <c r="D30" s="3">
        <v>13.64</v>
      </c>
      <c r="E30" s="3">
        <f>'feb 2024'!E30+'March 2024'!D30</f>
        <v>95.853999999999999</v>
      </c>
      <c r="F30" s="3">
        <v>0</v>
      </c>
      <c r="G30" s="3">
        <f>'feb 2024'!G30+'March 2024'!F30</f>
        <v>0</v>
      </c>
      <c r="H30" s="3">
        <f>C30+D30-F30</f>
        <v>3798.003999999999</v>
      </c>
      <c r="I30" s="3">
        <f>'feb 2024'!N30</f>
        <v>232.36699999999999</v>
      </c>
      <c r="J30" s="3">
        <v>0</v>
      </c>
      <c r="K30" s="3">
        <f>'feb 2024'!K30+'March 2024'!J30</f>
        <v>33.78</v>
      </c>
      <c r="L30" s="3">
        <v>0</v>
      </c>
      <c r="M30" s="3">
        <f>'feb 2024'!M30+'March 2024'!L30</f>
        <v>0</v>
      </c>
      <c r="N30" s="3">
        <f>I30+J30-L30</f>
        <v>232.36699999999999</v>
      </c>
      <c r="O30" s="3">
        <f>'feb 2024'!T30</f>
        <v>23.25</v>
      </c>
      <c r="P30" s="3">
        <v>0</v>
      </c>
      <c r="Q30" s="3">
        <f>'feb 2024'!Q30+'March 2024'!P30</f>
        <v>0</v>
      </c>
      <c r="R30" s="3">
        <v>0</v>
      </c>
      <c r="S30" s="3">
        <f>'feb 2024'!S30+'March 2024'!R30</f>
        <v>0</v>
      </c>
      <c r="T30" s="3">
        <f>O30+P30-R30</f>
        <v>23.25</v>
      </c>
      <c r="U30" s="3">
        <f>H30+N30+T30</f>
        <v>4053.6209999999992</v>
      </c>
      <c r="W30" s="89"/>
    </row>
    <row r="31" spans="1:23" s="4" customFormat="1" ht="44.25" customHeight="1">
      <c r="A31" s="77">
        <v>19</v>
      </c>
      <c r="B31" s="80" t="s">
        <v>37</v>
      </c>
      <c r="C31" s="3">
        <f>'feb 2024'!H31</f>
        <v>4730.4820000000009</v>
      </c>
      <c r="D31" s="3">
        <v>23.91</v>
      </c>
      <c r="E31" s="3">
        <f>'feb 2024'!E31+'March 2024'!D31</f>
        <v>51.899999999999991</v>
      </c>
      <c r="F31" s="3">
        <v>0</v>
      </c>
      <c r="G31" s="3">
        <f>'feb 2024'!G31+'March 2024'!F31</f>
        <v>0</v>
      </c>
      <c r="H31" s="3">
        <f>C31+D31-F31</f>
        <v>4754.3920000000007</v>
      </c>
      <c r="I31" s="3">
        <f>'feb 2024'!N31</f>
        <v>107.89500000000002</v>
      </c>
      <c r="J31" s="3">
        <v>0</v>
      </c>
      <c r="K31" s="3">
        <f>'feb 2024'!K31+'March 2024'!J31</f>
        <v>0.20499999999999999</v>
      </c>
      <c r="L31" s="3">
        <v>0</v>
      </c>
      <c r="M31" s="3">
        <f>'feb 2024'!M31+'March 2024'!L31</f>
        <v>0</v>
      </c>
      <c r="N31" s="3">
        <f>I31+J31-L31</f>
        <v>107.89500000000002</v>
      </c>
      <c r="O31" s="3">
        <f>'feb 2024'!T31</f>
        <v>14.850000000000001</v>
      </c>
      <c r="P31" s="3">
        <v>0</v>
      </c>
      <c r="Q31" s="3">
        <f>'feb 2024'!Q31+'March 2024'!P31</f>
        <v>0</v>
      </c>
      <c r="R31" s="3">
        <v>0</v>
      </c>
      <c r="S31" s="3">
        <f>'feb 2024'!S31+'March 2024'!R31</f>
        <v>0</v>
      </c>
      <c r="T31" s="3">
        <f>O31+P31-R31</f>
        <v>14.850000000000001</v>
      </c>
      <c r="U31" s="3">
        <f>H31+N31+T31</f>
        <v>4877.1370000000015</v>
      </c>
      <c r="W31" s="89"/>
    </row>
    <row r="32" spans="1:23" ht="70.5" customHeight="1">
      <c r="A32" s="77">
        <v>20</v>
      </c>
      <c r="B32" s="80" t="s">
        <v>38</v>
      </c>
      <c r="C32" s="3">
        <f>'feb 2024'!H32</f>
        <v>2398.8057999999992</v>
      </c>
      <c r="D32" s="3">
        <v>2.82</v>
      </c>
      <c r="E32" s="3">
        <f>'feb 2024'!E32+'March 2024'!D32</f>
        <v>37.33</v>
      </c>
      <c r="F32" s="3">
        <v>0</v>
      </c>
      <c r="G32" s="3">
        <f>'feb 2024'!G32+'March 2024'!F32</f>
        <v>9.73</v>
      </c>
      <c r="H32" s="3">
        <f>C32+D32-F32</f>
        <v>2401.6257999999993</v>
      </c>
      <c r="I32" s="3">
        <f>'feb 2024'!N32</f>
        <v>115.44400000000003</v>
      </c>
      <c r="J32" s="3">
        <v>0.74</v>
      </c>
      <c r="K32" s="3">
        <f>'feb 2024'!K32+'March 2024'!J32</f>
        <v>23.007999999999996</v>
      </c>
      <c r="L32" s="3">
        <v>0</v>
      </c>
      <c r="M32" s="3">
        <f>'feb 2024'!M32+'March 2024'!L32</f>
        <v>0</v>
      </c>
      <c r="N32" s="3">
        <f>I32+J32-L32</f>
        <v>116.18400000000003</v>
      </c>
      <c r="O32" s="3">
        <f>'feb 2024'!T32</f>
        <v>67.551999999999992</v>
      </c>
      <c r="P32" s="3">
        <v>0</v>
      </c>
      <c r="Q32" s="3">
        <f>'feb 2024'!Q32+'March 2024'!P32</f>
        <v>0</v>
      </c>
      <c r="R32" s="3">
        <v>0</v>
      </c>
      <c r="S32" s="3">
        <f>'feb 2024'!S32+'March 2024'!R32</f>
        <v>0</v>
      </c>
      <c r="T32" s="3">
        <f>O32+P32-R32</f>
        <v>67.551999999999992</v>
      </c>
      <c r="U32" s="3">
        <f>H32+N32+T32</f>
        <v>2585.3617999999997</v>
      </c>
      <c r="W32" s="89"/>
    </row>
    <row r="33" spans="1:23" s="4" customFormat="1" ht="38.25" customHeight="1">
      <c r="A33" s="76"/>
      <c r="B33" s="79" t="s">
        <v>39</v>
      </c>
      <c r="C33" s="5">
        <f>SUM(C29:C32)</f>
        <v>15944.5818</v>
      </c>
      <c r="D33" s="5">
        <f t="shared" ref="D33:U33" si="6">SUM(D29:D32)</f>
        <v>46.949999999999996</v>
      </c>
      <c r="E33" s="5">
        <f t="shared" si="6"/>
        <v>341.55599999999998</v>
      </c>
      <c r="F33" s="5">
        <f t="shared" si="6"/>
        <v>0</v>
      </c>
      <c r="G33" s="5">
        <f t="shared" si="6"/>
        <v>9.73</v>
      </c>
      <c r="H33" s="5">
        <f t="shared" si="6"/>
        <v>15991.531799999999</v>
      </c>
      <c r="I33" s="5">
        <f t="shared" si="6"/>
        <v>582.81600000000003</v>
      </c>
      <c r="J33" s="5">
        <f t="shared" si="6"/>
        <v>1.3900000000000001</v>
      </c>
      <c r="K33" s="5">
        <f t="shared" si="6"/>
        <v>63.222999999999999</v>
      </c>
      <c r="L33" s="5">
        <f t="shared" si="6"/>
        <v>0</v>
      </c>
      <c r="M33" s="5">
        <f t="shared" si="6"/>
        <v>0</v>
      </c>
      <c r="N33" s="5">
        <f t="shared" si="6"/>
        <v>584.20600000000013</v>
      </c>
      <c r="O33" s="5">
        <f t="shared" si="6"/>
        <v>140.172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5">
        <f t="shared" si="6"/>
        <v>0</v>
      </c>
      <c r="T33" s="5">
        <f t="shared" si="6"/>
        <v>140.172</v>
      </c>
      <c r="U33" s="5">
        <f t="shared" si="6"/>
        <v>16715.909800000001</v>
      </c>
    </row>
    <row r="34" spans="1:23" ht="38.25" customHeight="1">
      <c r="A34" s="77">
        <v>21</v>
      </c>
      <c r="B34" s="80" t="s">
        <v>40</v>
      </c>
      <c r="C34" s="3">
        <f>'feb 2024'!H34</f>
        <v>6217.6299999999992</v>
      </c>
      <c r="D34" s="3">
        <v>3.59</v>
      </c>
      <c r="E34" s="3">
        <f>'feb 2024'!E34+'March 2024'!D34</f>
        <v>1637.1899999999996</v>
      </c>
      <c r="F34" s="3">
        <v>0</v>
      </c>
      <c r="G34" s="3">
        <f>'feb 2024'!G34+'March 2024'!F34</f>
        <v>2.72</v>
      </c>
      <c r="H34" s="3">
        <f>C34+D34-F34</f>
        <v>6221.2199999999993</v>
      </c>
      <c r="I34" s="3">
        <f>'feb 2024'!N34</f>
        <v>125.89999999999999</v>
      </c>
      <c r="J34" s="3">
        <v>0</v>
      </c>
      <c r="K34" s="3">
        <f>'feb 2024'!K34+'March 2024'!J34</f>
        <v>17.82</v>
      </c>
      <c r="L34" s="3">
        <v>0</v>
      </c>
      <c r="M34" s="3">
        <f>'feb 2024'!M34+'March 2024'!L34</f>
        <v>0</v>
      </c>
      <c r="N34" s="3">
        <f>I34+J34-L34</f>
        <v>125.89999999999999</v>
      </c>
      <c r="O34" s="3">
        <f>'feb 2024'!T34</f>
        <v>84.210000000000008</v>
      </c>
      <c r="P34" s="3">
        <v>22.5</v>
      </c>
      <c r="Q34" s="3">
        <f>'feb 2024'!Q34+'March 2024'!P34</f>
        <v>34.01</v>
      </c>
      <c r="R34" s="3">
        <v>0</v>
      </c>
      <c r="S34" s="3">
        <f>'feb 2024'!S34+'March 2024'!R34</f>
        <v>0</v>
      </c>
      <c r="T34" s="3">
        <f>O34+P34-R34</f>
        <v>106.71000000000001</v>
      </c>
      <c r="U34" s="3">
        <f>H34+N34+T34</f>
        <v>6453.829999999999</v>
      </c>
      <c r="V34" s="78"/>
      <c r="W34" s="13"/>
    </row>
    <row r="35" spans="1:23" ht="38.25" customHeight="1">
      <c r="A35" s="77">
        <v>22</v>
      </c>
      <c r="B35" s="80" t="s">
        <v>41</v>
      </c>
      <c r="C35" s="3">
        <f>'feb 2024'!H35</f>
        <v>6969.819999999997</v>
      </c>
      <c r="D35" s="3">
        <v>44.58</v>
      </c>
      <c r="E35" s="3">
        <f>'feb 2024'!E35+'March 2024'!D35</f>
        <v>358.15999999999997</v>
      </c>
      <c r="F35" s="3">
        <v>50</v>
      </c>
      <c r="G35" s="3">
        <f>'feb 2024'!G35+'March 2024'!F35</f>
        <v>77.38</v>
      </c>
      <c r="H35" s="3">
        <f>C35+D35-F35</f>
        <v>6964.3999999999969</v>
      </c>
      <c r="I35" s="3">
        <f>'feb 2024'!N35</f>
        <v>74.17</v>
      </c>
      <c r="J35" s="3">
        <v>41.92</v>
      </c>
      <c r="K35" s="3">
        <f>'feb 2024'!K35+'March 2024'!J35</f>
        <v>81.960000000000008</v>
      </c>
      <c r="L35" s="3">
        <v>0</v>
      </c>
      <c r="M35" s="3">
        <f>'feb 2024'!M35+'March 2024'!L35</f>
        <v>0</v>
      </c>
      <c r="N35" s="3">
        <f>I35+J35-L35</f>
        <v>116.09</v>
      </c>
      <c r="O35" s="3">
        <f>'feb 2024'!T35</f>
        <v>90.800000000000011</v>
      </c>
      <c r="P35" s="3">
        <v>0</v>
      </c>
      <c r="Q35" s="3">
        <f>'feb 2024'!Q35+'March 2024'!P35</f>
        <v>0</v>
      </c>
      <c r="R35" s="3">
        <v>0</v>
      </c>
      <c r="S35" s="3">
        <f>'feb 2024'!S35+'March 2024'!R35</f>
        <v>0</v>
      </c>
      <c r="T35" s="3">
        <f>O35+P35-R35</f>
        <v>90.800000000000011</v>
      </c>
      <c r="U35" s="3">
        <f>H35+N35+T35</f>
        <v>7171.2899999999972</v>
      </c>
      <c r="V35" s="78"/>
      <c r="W35" s="13"/>
    </row>
    <row r="36" spans="1:23" s="4" customFormat="1" ht="38.25" customHeight="1">
      <c r="A36" s="77">
        <v>23</v>
      </c>
      <c r="B36" s="80" t="s">
        <v>42</v>
      </c>
      <c r="C36" s="3">
        <f>'feb 2024'!H36</f>
        <v>8694.0400000000009</v>
      </c>
      <c r="D36" s="3">
        <v>0</v>
      </c>
      <c r="E36" s="3">
        <f>'feb 2024'!E36+'March 2024'!D36</f>
        <v>5084.9500000000007</v>
      </c>
      <c r="F36" s="3">
        <v>113.07</v>
      </c>
      <c r="G36" s="3">
        <f>'feb 2024'!G36+'March 2024'!F36</f>
        <v>201.64</v>
      </c>
      <c r="H36" s="3">
        <f>C36+D36-F36</f>
        <v>8580.9700000000012</v>
      </c>
      <c r="I36" s="3">
        <f>'feb 2024'!N36</f>
        <v>31.19000000000004</v>
      </c>
      <c r="J36" s="3">
        <v>0.04</v>
      </c>
      <c r="K36" s="3">
        <f>'feb 2024'!K36+'March 2024'!J36</f>
        <v>0.98000000000000009</v>
      </c>
      <c r="L36" s="3">
        <v>5.75</v>
      </c>
      <c r="M36" s="3">
        <f>'feb 2024'!M36+'March 2024'!L36</f>
        <v>5.75</v>
      </c>
      <c r="N36" s="3">
        <f>I36+J36-L36</f>
        <v>25.48000000000004</v>
      </c>
      <c r="O36" s="3">
        <f>'feb 2024'!T36</f>
        <v>36.379999999999995</v>
      </c>
      <c r="P36" s="3">
        <v>0.26</v>
      </c>
      <c r="Q36" s="3">
        <f>'feb 2024'!Q36+'March 2024'!P36</f>
        <v>0.26</v>
      </c>
      <c r="R36" s="3">
        <v>0</v>
      </c>
      <c r="S36" s="3">
        <f>'feb 2024'!S36+'March 2024'!R36</f>
        <v>0</v>
      </c>
      <c r="T36" s="3">
        <f>O36+P36-R36</f>
        <v>36.639999999999993</v>
      </c>
      <c r="U36" s="3">
        <f>H36+N36+T36</f>
        <v>8643.09</v>
      </c>
      <c r="V36" s="9"/>
      <c r="W36" s="13"/>
    </row>
    <row r="37" spans="1:23" s="4" customFormat="1" ht="38.25" customHeight="1">
      <c r="A37" s="77">
        <v>24</v>
      </c>
      <c r="B37" s="80" t="s">
        <v>43</v>
      </c>
      <c r="C37" s="3">
        <f>'feb 2024'!H37</f>
        <v>5258.5199999999986</v>
      </c>
      <c r="D37" s="3">
        <v>9.86</v>
      </c>
      <c r="E37" s="3">
        <f>'feb 2024'!E37+'March 2024'!D37</f>
        <v>173.87</v>
      </c>
      <c r="F37" s="3">
        <v>0</v>
      </c>
      <c r="G37" s="3">
        <f>'feb 2024'!G37+'March 2024'!F37</f>
        <v>0</v>
      </c>
      <c r="H37" s="3">
        <f>C37+D37-F37</f>
        <v>5268.3799999999983</v>
      </c>
      <c r="I37" s="3">
        <f>'feb 2024'!N37</f>
        <v>26.700000000000003</v>
      </c>
      <c r="J37" s="3">
        <v>0</v>
      </c>
      <c r="K37" s="3">
        <f>'feb 2024'!K37+'March 2024'!J37</f>
        <v>0</v>
      </c>
      <c r="L37" s="3">
        <v>0</v>
      </c>
      <c r="M37" s="3">
        <f>'feb 2024'!M37+'March 2024'!L37</f>
        <v>0</v>
      </c>
      <c r="N37" s="3">
        <f>I37+J37-L37</f>
        <v>26.700000000000003</v>
      </c>
      <c r="O37" s="3">
        <f>'feb 2024'!T37</f>
        <v>3.0599999999999996</v>
      </c>
      <c r="P37" s="3">
        <v>0</v>
      </c>
      <c r="Q37" s="3">
        <f>'feb 2024'!Q37+'March 2024'!P37</f>
        <v>0</v>
      </c>
      <c r="R37" s="3">
        <v>0</v>
      </c>
      <c r="S37" s="3">
        <f>'feb 2024'!S37+'March 2024'!R37</f>
        <v>0</v>
      </c>
      <c r="T37" s="3">
        <f>O37+P37-R37</f>
        <v>3.0599999999999996</v>
      </c>
      <c r="U37" s="3">
        <f>H37+N37+T37</f>
        <v>5298.1399999999985</v>
      </c>
      <c r="V37" s="9"/>
      <c r="W37" s="13"/>
    </row>
    <row r="38" spans="1:23" s="4" customFormat="1" ht="38.25" customHeight="1">
      <c r="A38" s="76"/>
      <c r="B38" s="79" t="s">
        <v>44</v>
      </c>
      <c r="C38" s="5">
        <f>SUM(C34:C37)</f>
        <v>27140.009999999995</v>
      </c>
      <c r="D38" s="5">
        <f t="shared" ref="D38:U38" si="7">SUM(D34:D37)</f>
        <v>58.03</v>
      </c>
      <c r="E38" s="5">
        <f t="shared" si="7"/>
        <v>7254.17</v>
      </c>
      <c r="F38" s="5">
        <f t="shared" si="7"/>
        <v>163.07</v>
      </c>
      <c r="G38" s="5">
        <f t="shared" si="7"/>
        <v>281.74</v>
      </c>
      <c r="H38" s="5">
        <f t="shared" si="7"/>
        <v>27034.969999999994</v>
      </c>
      <c r="I38" s="5">
        <f t="shared" si="7"/>
        <v>257.96000000000004</v>
      </c>
      <c r="J38" s="5">
        <f t="shared" si="7"/>
        <v>41.96</v>
      </c>
      <c r="K38" s="5">
        <f t="shared" si="7"/>
        <v>100.76</v>
      </c>
      <c r="L38" s="5">
        <f t="shared" si="7"/>
        <v>5.75</v>
      </c>
      <c r="M38" s="5">
        <f t="shared" si="7"/>
        <v>5.75</v>
      </c>
      <c r="N38" s="5">
        <f t="shared" si="7"/>
        <v>294.17</v>
      </c>
      <c r="O38" s="5">
        <f t="shared" si="7"/>
        <v>214.45000000000002</v>
      </c>
      <c r="P38" s="5">
        <f t="shared" si="7"/>
        <v>22.76</v>
      </c>
      <c r="Q38" s="5">
        <f t="shared" si="7"/>
        <v>34.269999999999996</v>
      </c>
      <c r="R38" s="5">
        <f t="shared" si="7"/>
        <v>0</v>
      </c>
      <c r="S38" s="5">
        <f t="shared" si="7"/>
        <v>0</v>
      </c>
      <c r="T38" s="5">
        <f t="shared" si="7"/>
        <v>237.21</v>
      </c>
      <c r="U38" s="5">
        <f t="shared" si="7"/>
        <v>27566.349999999995</v>
      </c>
    </row>
    <row r="39" spans="1:23" s="4" customFormat="1" ht="38.25" customHeight="1">
      <c r="A39" s="76"/>
      <c r="B39" s="79" t="s">
        <v>45</v>
      </c>
      <c r="C39" s="5">
        <f>C38+C33+C28</f>
        <v>50530.416799999999</v>
      </c>
      <c r="D39" s="5">
        <f t="shared" ref="D39:U39" si="8">D38+D33+D28</f>
        <v>123.02999999999999</v>
      </c>
      <c r="E39" s="5">
        <f t="shared" si="8"/>
        <v>7745.9560000000001</v>
      </c>
      <c r="F39" s="5">
        <f t="shared" si="8"/>
        <v>163.07</v>
      </c>
      <c r="G39" s="5">
        <f t="shared" si="8"/>
        <v>291.49</v>
      </c>
      <c r="H39" s="5">
        <f t="shared" si="8"/>
        <v>50490.376799999998</v>
      </c>
      <c r="I39" s="5">
        <f t="shared" si="8"/>
        <v>1632.5639999999999</v>
      </c>
      <c r="J39" s="5">
        <f t="shared" si="8"/>
        <v>48.47</v>
      </c>
      <c r="K39" s="5">
        <f t="shared" si="8"/>
        <v>205.18299999999999</v>
      </c>
      <c r="L39" s="5">
        <f t="shared" si="8"/>
        <v>5.75</v>
      </c>
      <c r="M39" s="5">
        <f t="shared" si="8"/>
        <v>5.77</v>
      </c>
      <c r="N39" s="5">
        <f t="shared" si="8"/>
        <v>1675.2840000000001</v>
      </c>
      <c r="O39" s="5">
        <f t="shared" si="8"/>
        <v>408.94200000000001</v>
      </c>
      <c r="P39" s="5">
        <f t="shared" si="8"/>
        <v>22.76</v>
      </c>
      <c r="Q39" s="5">
        <f t="shared" si="8"/>
        <v>38.419999999999995</v>
      </c>
      <c r="R39" s="5">
        <f t="shared" si="8"/>
        <v>0</v>
      </c>
      <c r="S39" s="5">
        <f t="shared" si="8"/>
        <v>0</v>
      </c>
      <c r="T39" s="5">
        <f t="shared" si="8"/>
        <v>431.702</v>
      </c>
      <c r="U39" s="5">
        <f t="shared" si="8"/>
        <v>52597.362800000003</v>
      </c>
    </row>
    <row r="40" spans="1:23" ht="38.25" customHeight="1">
      <c r="A40" s="77">
        <v>25</v>
      </c>
      <c r="B40" s="80" t="s">
        <v>46</v>
      </c>
      <c r="C40" s="3">
        <f>'feb 2024'!H40</f>
        <v>14324.003999999995</v>
      </c>
      <c r="D40" s="3">
        <v>15.06</v>
      </c>
      <c r="E40" s="3">
        <f>'feb 2024'!E40+'March 2024'!D40</f>
        <v>2481.4400000000005</v>
      </c>
      <c r="F40" s="3">
        <v>0</v>
      </c>
      <c r="G40" s="3">
        <f>'feb 2024'!G40+'March 2024'!F40</f>
        <v>0</v>
      </c>
      <c r="H40" s="3">
        <f>C40+D40-F40</f>
        <v>14339.063999999995</v>
      </c>
      <c r="I40" s="3">
        <f>'feb 2024'!N40</f>
        <v>198.73</v>
      </c>
      <c r="J40" s="3">
        <v>0</v>
      </c>
      <c r="K40" s="3">
        <f>'feb 2024'!K40+'March 2024'!J40</f>
        <v>0</v>
      </c>
      <c r="L40" s="3">
        <v>0</v>
      </c>
      <c r="M40" s="3">
        <f>'feb 2024'!M40+'March 2024'!L40</f>
        <v>0</v>
      </c>
      <c r="N40" s="3">
        <f>I40+J40-L40</f>
        <v>198.73</v>
      </c>
      <c r="O40" s="3">
        <f>'feb 2024'!T40</f>
        <v>106.93</v>
      </c>
      <c r="P40" s="3">
        <v>0</v>
      </c>
      <c r="Q40" s="3">
        <f>'feb 2024'!Q40+'March 2024'!P40</f>
        <v>0</v>
      </c>
      <c r="R40" s="3">
        <v>0</v>
      </c>
      <c r="S40" s="3">
        <f>'feb 2024'!S40+'March 2024'!R40</f>
        <v>0</v>
      </c>
      <c r="T40" s="3">
        <f>O40+P40-R40</f>
        <v>106.93</v>
      </c>
      <c r="U40" s="3">
        <f>H40+N40+T40</f>
        <v>14644.723999999995</v>
      </c>
    </row>
    <row r="41" spans="1:23" ht="38.25" customHeight="1">
      <c r="A41" s="77">
        <v>26</v>
      </c>
      <c r="B41" s="80" t="s">
        <v>47</v>
      </c>
      <c r="C41" s="3">
        <f>'feb 2024'!H41</f>
        <v>9045.318999999994</v>
      </c>
      <c r="D41" s="3">
        <v>35.119999999999997</v>
      </c>
      <c r="E41" s="3">
        <f>'feb 2024'!E41+'March 2024'!D41</f>
        <v>633.04000000000008</v>
      </c>
      <c r="F41" s="3">
        <v>0</v>
      </c>
      <c r="G41" s="3">
        <f>'feb 2024'!G41+'March 2024'!F41</f>
        <v>0</v>
      </c>
      <c r="H41" s="3">
        <f>C41+D41-F41</f>
        <v>9080.4389999999948</v>
      </c>
      <c r="I41" s="3">
        <f>'feb 2024'!N41</f>
        <v>8.67</v>
      </c>
      <c r="J41" s="3">
        <v>0</v>
      </c>
      <c r="K41" s="3">
        <f>'feb 2024'!K41+'March 2024'!J41</f>
        <v>0</v>
      </c>
      <c r="L41" s="3">
        <v>0</v>
      </c>
      <c r="M41" s="3">
        <f>'feb 2024'!M41+'March 2024'!L41</f>
        <v>0</v>
      </c>
      <c r="N41" s="3">
        <f>I41+J41-L41</f>
        <v>8.67</v>
      </c>
      <c r="O41" s="3">
        <f>'feb 2024'!T41</f>
        <v>141.29000000000002</v>
      </c>
      <c r="P41" s="3">
        <v>0</v>
      </c>
      <c r="Q41" s="3">
        <f>'feb 2024'!Q41+'March 2024'!P41</f>
        <v>0</v>
      </c>
      <c r="R41" s="3">
        <v>0</v>
      </c>
      <c r="S41" s="3">
        <f>'feb 2024'!S41+'March 2024'!R41</f>
        <v>0</v>
      </c>
      <c r="T41" s="3">
        <f>O41+P41-R41</f>
        <v>141.29000000000002</v>
      </c>
      <c r="U41" s="3">
        <f>H41+N41+T41</f>
        <v>9230.3989999999958</v>
      </c>
    </row>
    <row r="42" spans="1:23" s="4" customFormat="1" ht="38.25" customHeight="1">
      <c r="A42" s="77">
        <v>27</v>
      </c>
      <c r="B42" s="80" t="s">
        <v>48</v>
      </c>
      <c r="C42" s="3">
        <f>'feb 2024'!H42</f>
        <v>16828.831999999995</v>
      </c>
      <c r="D42" s="3">
        <v>31.37</v>
      </c>
      <c r="E42" s="3">
        <f>'feb 2024'!E42+'March 2024'!D42</f>
        <v>2906.5290000000005</v>
      </c>
      <c r="F42" s="3">
        <v>0</v>
      </c>
      <c r="G42" s="3">
        <f>'feb 2024'!G42+'March 2024'!F42</f>
        <v>0</v>
      </c>
      <c r="H42" s="3">
        <f>C42+D42-F42</f>
        <v>16860.201999999994</v>
      </c>
      <c r="I42" s="3">
        <f>'feb 2024'!N42</f>
        <v>15.62</v>
      </c>
      <c r="J42" s="3">
        <v>0</v>
      </c>
      <c r="K42" s="3">
        <f>'feb 2024'!K42+'March 2024'!J42</f>
        <v>0</v>
      </c>
      <c r="L42" s="3">
        <v>0</v>
      </c>
      <c r="M42" s="3">
        <f>'feb 2024'!M42+'March 2024'!L42</f>
        <v>0</v>
      </c>
      <c r="N42" s="3">
        <f>I42+J42-L42</f>
        <v>15.62</v>
      </c>
      <c r="O42" s="3">
        <f>'feb 2024'!T42</f>
        <v>205.35</v>
      </c>
      <c r="P42" s="3">
        <v>0</v>
      </c>
      <c r="Q42" s="3">
        <f>'feb 2024'!Q42+'March 2024'!P42</f>
        <v>0</v>
      </c>
      <c r="R42" s="3">
        <v>0</v>
      </c>
      <c r="S42" s="3">
        <f>'feb 2024'!S42+'March 2024'!R42</f>
        <v>0</v>
      </c>
      <c r="T42" s="3">
        <f>O42+P42-R42</f>
        <v>205.35</v>
      </c>
      <c r="U42" s="3">
        <f>H42+N42+T42</f>
        <v>17081.171999999991</v>
      </c>
    </row>
    <row r="43" spans="1:23" ht="38.25" customHeight="1">
      <c r="A43" s="77">
        <v>28</v>
      </c>
      <c r="B43" s="80" t="s">
        <v>49</v>
      </c>
      <c r="C43" s="3">
        <f>'feb 2024'!H43</f>
        <v>4759.8100000000013</v>
      </c>
      <c r="D43" s="3">
        <v>8.24</v>
      </c>
      <c r="E43" s="3">
        <f>'feb 2024'!E43+'March 2024'!D43</f>
        <v>566.09</v>
      </c>
      <c r="F43" s="3">
        <v>0</v>
      </c>
      <c r="G43" s="3">
        <f>'feb 2024'!G43+'March 2024'!F43</f>
        <v>0</v>
      </c>
      <c r="H43" s="3">
        <f>C43+D43-F43</f>
        <v>4768.0500000000011</v>
      </c>
      <c r="I43" s="3">
        <f>'feb 2024'!N43</f>
        <v>3.5</v>
      </c>
      <c r="J43" s="3">
        <v>0</v>
      </c>
      <c r="K43" s="3">
        <f>'feb 2024'!K43+'March 2024'!J43</f>
        <v>0</v>
      </c>
      <c r="L43" s="3">
        <v>0</v>
      </c>
      <c r="M43" s="3">
        <f>'feb 2024'!M43+'March 2024'!L43</f>
        <v>0</v>
      </c>
      <c r="N43" s="3">
        <f>I43+J43-L43</f>
        <v>3.5</v>
      </c>
      <c r="O43" s="3">
        <f>'feb 2024'!T43</f>
        <v>29.8</v>
      </c>
      <c r="P43" s="3">
        <v>0</v>
      </c>
      <c r="Q43" s="3">
        <f>'feb 2024'!Q43+'March 2024'!P43</f>
        <v>0</v>
      </c>
      <c r="R43" s="3">
        <v>0</v>
      </c>
      <c r="S43" s="3">
        <f>'feb 2024'!S43+'March 2024'!R43</f>
        <v>0</v>
      </c>
      <c r="T43" s="3">
        <f>O43+P43-R43</f>
        <v>29.8</v>
      </c>
      <c r="U43" s="3">
        <f>H43+N43+T43</f>
        <v>4801.3500000000013</v>
      </c>
    </row>
    <row r="44" spans="1:23" s="4" customFormat="1" ht="38.25" customHeight="1">
      <c r="A44" s="76"/>
      <c r="B44" s="79" t="s">
        <v>50</v>
      </c>
      <c r="C44" s="5">
        <f>SUM(C40:C43)</f>
        <v>44957.964999999982</v>
      </c>
      <c r="D44" s="5">
        <f t="shared" ref="D44:U44" si="9">SUM(D40:D43)</f>
        <v>89.789999999999992</v>
      </c>
      <c r="E44" s="5">
        <f t="shared" si="9"/>
        <v>6587.0990000000011</v>
      </c>
      <c r="F44" s="5">
        <f t="shared" si="9"/>
        <v>0</v>
      </c>
      <c r="G44" s="5">
        <f t="shared" si="9"/>
        <v>0</v>
      </c>
      <c r="H44" s="5">
        <f t="shared" si="9"/>
        <v>45047.75499999999</v>
      </c>
      <c r="I44" s="5">
        <f t="shared" si="9"/>
        <v>226.51999999999998</v>
      </c>
      <c r="J44" s="5">
        <f t="shared" si="9"/>
        <v>0</v>
      </c>
      <c r="K44" s="5">
        <f t="shared" si="9"/>
        <v>0</v>
      </c>
      <c r="L44" s="5">
        <f t="shared" si="9"/>
        <v>0</v>
      </c>
      <c r="M44" s="5">
        <f t="shared" si="9"/>
        <v>0</v>
      </c>
      <c r="N44" s="5">
        <f t="shared" si="9"/>
        <v>226.51999999999998</v>
      </c>
      <c r="O44" s="5">
        <f t="shared" si="9"/>
        <v>483.37000000000006</v>
      </c>
      <c r="P44" s="5">
        <f t="shared" si="9"/>
        <v>0</v>
      </c>
      <c r="Q44" s="5">
        <f t="shared" si="9"/>
        <v>0</v>
      </c>
      <c r="R44" s="5">
        <f t="shared" si="9"/>
        <v>0</v>
      </c>
      <c r="S44" s="5">
        <f t="shared" si="9"/>
        <v>0</v>
      </c>
      <c r="T44" s="5">
        <f t="shared" si="9"/>
        <v>483.37000000000006</v>
      </c>
      <c r="U44" s="5">
        <f t="shared" si="9"/>
        <v>45757.644999999982</v>
      </c>
    </row>
    <row r="45" spans="1:23" ht="38.25" customHeight="1">
      <c r="A45" s="77">
        <v>29</v>
      </c>
      <c r="B45" s="80" t="s">
        <v>51</v>
      </c>
      <c r="C45" s="3">
        <f>'feb 2024'!H45</f>
        <v>8515.3220999999976</v>
      </c>
      <c r="D45" s="3">
        <v>13.04</v>
      </c>
      <c r="E45" s="3">
        <f>'feb 2024'!E45+'March 2024'!D45</f>
        <v>164.54999999999998</v>
      </c>
      <c r="F45" s="3">
        <v>0</v>
      </c>
      <c r="G45" s="3">
        <f>'feb 2024'!G45+'March 2024'!F45</f>
        <v>0</v>
      </c>
      <c r="H45" s="3">
        <f>C45+D45-F45</f>
        <v>8528.3620999999985</v>
      </c>
      <c r="I45" s="3">
        <f>'feb 2024'!N45</f>
        <v>262.04999999999995</v>
      </c>
      <c r="J45" s="3">
        <v>0.05</v>
      </c>
      <c r="K45" s="3">
        <f>'feb 2024'!K45+'March 2024'!J45</f>
        <v>1.05</v>
      </c>
      <c r="L45" s="3">
        <v>0</v>
      </c>
      <c r="M45" s="3">
        <f>'feb 2024'!M45+'March 2024'!L45</f>
        <v>0</v>
      </c>
      <c r="N45" s="3">
        <f>I45+J45-L45</f>
        <v>262.09999999999997</v>
      </c>
      <c r="O45" s="3">
        <f>'feb 2024'!T45</f>
        <v>84.53</v>
      </c>
      <c r="P45" s="3">
        <v>0</v>
      </c>
      <c r="Q45" s="3">
        <f>'feb 2024'!Q45+'March 2024'!P45</f>
        <v>0.14000000000000001</v>
      </c>
      <c r="R45" s="3">
        <v>0</v>
      </c>
      <c r="S45" s="3">
        <f>'feb 2024'!S45+'March 2024'!R45</f>
        <v>0</v>
      </c>
      <c r="T45" s="3">
        <f>O45+P45-R45</f>
        <v>84.53</v>
      </c>
      <c r="U45" s="3">
        <f>H45+N45+T45</f>
        <v>8874.9920999999995</v>
      </c>
    </row>
    <row r="46" spans="1:23" ht="38.25" customHeight="1">
      <c r="A46" s="77">
        <v>30</v>
      </c>
      <c r="B46" s="80" t="s">
        <v>52</v>
      </c>
      <c r="C46" s="3">
        <f>'feb 2024'!H46</f>
        <v>8163.215000000002</v>
      </c>
      <c r="D46" s="3">
        <v>13.46</v>
      </c>
      <c r="E46" s="3">
        <f>'feb 2024'!E46+'March 2024'!D46</f>
        <v>229.44000000000003</v>
      </c>
      <c r="F46" s="3">
        <v>0</v>
      </c>
      <c r="G46" s="3">
        <f>'feb 2024'!G46+'March 2024'!F46</f>
        <v>0</v>
      </c>
      <c r="H46" s="3">
        <f>C46+D46-F46</f>
        <v>8176.675000000002</v>
      </c>
      <c r="I46" s="3">
        <f>'feb 2024'!N46</f>
        <v>0</v>
      </c>
      <c r="J46" s="3">
        <v>0</v>
      </c>
      <c r="K46" s="3">
        <f>'feb 2024'!K46+'March 2024'!J46</f>
        <v>0</v>
      </c>
      <c r="L46" s="3">
        <v>0</v>
      </c>
      <c r="M46" s="3">
        <f>'feb 2024'!M46+'March 2024'!L46</f>
        <v>0</v>
      </c>
      <c r="N46" s="3">
        <f>I46+J46-L46</f>
        <v>0</v>
      </c>
      <c r="O46" s="3">
        <f>'feb 2024'!T46</f>
        <v>52.53</v>
      </c>
      <c r="P46" s="3">
        <v>0</v>
      </c>
      <c r="Q46" s="3">
        <f>'feb 2024'!Q46+'March 2024'!P46</f>
        <v>5.5</v>
      </c>
      <c r="R46" s="3">
        <v>0</v>
      </c>
      <c r="S46" s="3">
        <f>'feb 2024'!S46+'March 2024'!R46</f>
        <v>0</v>
      </c>
      <c r="T46" s="3">
        <f>O46+P46-R46</f>
        <v>52.53</v>
      </c>
      <c r="U46" s="3">
        <f>H46+N46+T46</f>
        <v>8229.2050000000017</v>
      </c>
    </row>
    <row r="47" spans="1:23" s="4" customFormat="1" ht="38.25" customHeight="1">
      <c r="A47" s="77">
        <v>31</v>
      </c>
      <c r="B47" s="80" t="s">
        <v>53</v>
      </c>
      <c r="C47" s="3">
        <f>'feb 2024'!H47</f>
        <v>9431.4599999999937</v>
      </c>
      <c r="D47" s="3">
        <v>23.61</v>
      </c>
      <c r="E47" s="3">
        <f>'feb 2024'!E47+'March 2024'!D47</f>
        <v>377.36999999999995</v>
      </c>
      <c r="F47" s="3">
        <v>0</v>
      </c>
      <c r="G47" s="3">
        <f>'feb 2024'!G47+'March 2024'!F47</f>
        <v>0</v>
      </c>
      <c r="H47" s="3">
        <f>C47+D47-F47</f>
        <v>9455.0699999999943</v>
      </c>
      <c r="I47" s="3">
        <f>'feb 2024'!N47</f>
        <v>3.13</v>
      </c>
      <c r="J47" s="3">
        <v>0</v>
      </c>
      <c r="K47" s="3">
        <f>'feb 2024'!K47+'March 2024'!J47</f>
        <v>0</v>
      </c>
      <c r="L47" s="3">
        <v>0</v>
      </c>
      <c r="M47" s="3">
        <f>'feb 2024'!M47+'March 2024'!L47</f>
        <v>0</v>
      </c>
      <c r="N47" s="3">
        <f>I47+J47-L47</f>
        <v>3.13</v>
      </c>
      <c r="O47" s="3">
        <f>'feb 2024'!T47</f>
        <v>118.94999999999999</v>
      </c>
      <c r="P47" s="3">
        <v>0</v>
      </c>
      <c r="Q47" s="3">
        <f>'feb 2024'!Q47+'March 2024'!P47</f>
        <v>0</v>
      </c>
      <c r="R47" s="3">
        <v>0</v>
      </c>
      <c r="S47" s="3">
        <f>'feb 2024'!S47+'March 2024'!R47</f>
        <v>0</v>
      </c>
      <c r="T47" s="3">
        <f>O47+P47-R47</f>
        <v>118.94999999999999</v>
      </c>
      <c r="U47" s="3">
        <f>H47+N47+T47</f>
        <v>9577.1499999999942</v>
      </c>
    </row>
    <row r="48" spans="1:23" s="4" customFormat="1" ht="38.25" customHeight="1">
      <c r="A48" s="77">
        <v>32</v>
      </c>
      <c r="B48" s="80" t="s">
        <v>54</v>
      </c>
      <c r="C48" s="3">
        <f>'feb 2024'!H48</f>
        <v>8666.4489999999987</v>
      </c>
      <c r="D48" s="3">
        <v>17.75</v>
      </c>
      <c r="E48" s="3">
        <f>'feb 2024'!E48+'March 2024'!D48</f>
        <v>78.25</v>
      </c>
      <c r="F48" s="3">
        <v>0</v>
      </c>
      <c r="G48" s="3">
        <f>'feb 2024'!G48+'March 2024'!F48</f>
        <v>0</v>
      </c>
      <c r="H48" s="3">
        <f>C48+D48-F48</f>
        <v>8684.1989999999987</v>
      </c>
      <c r="I48" s="3">
        <f>'feb 2024'!N48</f>
        <v>5.0249999999999995</v>
      </c>
      <c r="J48" s="3">
        <v>0</v>
      </c>
      <c r="K48" s="3">
        <f>'feb 2024'!K48+'March 2024'!J48</f>
        <v>0</v>
      </c>
      <c r="L48" s="3">
        <v>0</v>
      </c>
      <c r="M48" s="3">
        <f>'feb 2024'!M48+'March 2024'!L48</f>
        <v>0</v>
      </c>
      <c r="N48" s="3">
        <f>I48+J48-L48</f>
        <v>5.0249999999999995</v>
      </c>
      <c r="O48" s="3">
        <f>'feb 2024'!T48</f>
        <v>4.21</v>
      </c>
      <c r="P48" s="3">
        <v>0</v>
      </c>
      <c r="Q48" s="3">
        <f>'feb 2024'!Q48+'March 2024'!P48</f>
        <v>0</v>
      </c>
      <c r="R48" s="3">
        <v>0</v>
      </c>
      <c r="S48" s="3">
        <f>'feb 2024'!S48+'March 2024'!R48</f>
        <v>0</v>
      </c>
      <c r="T48" s="3">
        <f>O48+P48-R48</f>
        <v>4.21</v>
      </c>
      <c r="U48" s="3">
        <f>H48+N48+T48</f>
        <v>8693.4339999999975</v>
      </c>
    </row>
    <row r="49" spans="1:23" s="4" customFormat="1" ht="38.25" customHeight="1">
      <c r="A49" s="76"/>
      <c r="B49" s="79" t="s">
        <v>55</v>
      </c>
      <c r="C49" s="5">
        <f>SUM(C45:C48)</f>
        <v>34776.446099999994</v>
      </c>
      <c r="D49" s="5">
        <f t="shared" ref="D49:U49" si="10">SUM(D45:D48)</f>
        <v>67.86</v>
      </c>
      <c r="E49" s="5">
        <f t="shared" si="10"/>
        <v>849.6099999999999</v>
      </c>
      <c r="F49" s="5">
        <f t="shared" si="10"/>
        <v>0</v>
      </c>
      <c r="G49" s="5">
        <f t="shared" si="10"/>
        <v>0</v>
      </c>
      <c r="H49" s="5">
        <f t="shared" si="10"/>
        <v>34844.306099999994</v>
      </c>
      <c r="I49" s="5">
        <f t="shared" si="10"/>
        <v>270.20499999999993</v>
      </c>
      <c r="J49" s="5">
        <f t="shared" si="10"/>
        <v>0.05</v>
      </c>
      <c r="K49" s="5">
        <f t="shared" si="10"/>
        <v>1.05</v>
      </c>
      <c r="L49" s="5">
        <f t="shared" si="10"/>
        <v>0</v>
      </c>
      <c r="M49" s="5">
        <f t="shared" si="10"/>
        <v>0</v>
      </c>
      <c r="N49" s="5">
        <f t="shared" si="10"/>
        <v>270.25499999999994</v>
      </c>
      <c r="O49" s="5">
        <f t="shared" si="10"/>
        <v>260.21999999999997</v>
      </c>
      <c r="P49" s="5">
        <f t="shared" si="10"/>
        <v>0</v>
      </c>
      <c r="Q49" s="5">
        <f t="shared" si="10"/>
        <v>5.64</v>
      </c>
      <c r="R49" s="5">
        <f t="shared" si="10"/>
        <v>0</v>
      </c>
      <c r="S49" s="5">
        <f t="shared" si="10"/>
        <v>0</v>
      </c>
      <c r="T49" s="5">
        <f t="shared" si="10"/>
        <v>260.21999999999997</v>
      </c>
      <c r="U49" s="5">
        <f t="shared" si="10"/>
        <v>35374.781099999993</v>
      </c>
    </row>
    <row r="50" spans="1:23" s="4" customFormat="1" ht="38.25" customHeight="1">
      <c r="A50" s="76"/>
      <c r="B50" s="79" t="s">
        <v>56</v>
      </c>
      <c r="C50" s="5">
        <f>C49+C44</f>
        <v>79734.411099999968</v>
      </c>
      <c r="D50" s="5">
        <f t="shared" ref="D50:U50" si="11">D49+D44</f>
        <v>157.64999999999998</v>
      </c>
      <c r="E50" s="5">
        <f t="shared" si="11"/>
        <v>7436.7090000000007</v>
      </c>
      <c r="F50" s="5">
        <f t="shared" si="11"/>
        <v>0</v>
      </c>
      <c r="G50" s="5">
        <f t="shared" si="11"/>
        <v>0</v>
      </c>
      <c r="H50" s="5">
        <f t="shared" si="11"/>
        <v>79892.061099999992</v>
      </c>
      <c r="I50" s="5">
        <f t="shared" si="11"/>
        <v>496.72499999999991</v>
      </c>
      <c r="J50" s="5">
        <f t="shared" si="11"/>
        <v>0.05</v>
      </c>
      <c r="K50" s="5">
        <f t="shared" si="11"/>
        <v>1.05</v>
      </c>
      <c r="L50" s="5">
        <f t="shared" si="11"/>
        <v>0</v>
      </c>
      <c r="M50" s="5">
        <f t="shared" si="11"/>
        <v>0</v>
      </c>
      <c r="N50" s="5">
        <f t="shared" si="11"/>
        <v>496.77499999999992</v>
      </c>
      <c r="O50" s="5">
        <f t="shared" si="11"/>
        <v>743.59</v>
      </c>
      <c r="P50" s="5">
        <f t="shared" si="11"/>
        <v>0</v>
      </c>
      <c r="Q50" s="5">
        <f t="shared" si="11"/>
        <v>5.64</v>
      </c>
      <c r="R50" s="5">
        <f t="shared" si="11"/>
        <v>0</v>
      </c>
      <c r="S50" s="5">
        <f t="shared" si="11"/>
        <v>0</v>
      </c>
      <c r="T50" s="5">
        <f t="shared" si="11"/>
        <v>743.59</v>
      </c>
      <c r="U50" s="5">
        <f t="shared" si="11"/>
        <v>81132.426099999982</v>
      </c>
    </row>
    <row r="51" spans="1:23" s="4" customFormat="1" ht="38.25" customHeight="1">
      <c r="A51" s="76"/>
      <c r="B51" s="79" t="s">
        <v>57</v>
      </c>
      <c r="C51" s="5">
        <f>C50+C39+C25</f>
        <v>134220.11389999997</v>
      </c>
      <c r="D51" s="5">
        <f t="shared" ref="D51:U51" si="12">D50+D39+D25</f>
        <v>281.06999999999994</v>
      </c>
      <c r="E51" s="5">
        <f t="shared" si="12"/>
        <v>15240.175000000001</v>
      </c>
      <c r="F51" s="5">
        <f t="shared" si="12"/>
        <v>163.07</v>
      </c>
      <c r="G51" s="5">
        <f t="shared" si="12"/>
        <v>338.18</v>
      </c>
      <c r="H51" s="5">
        <f t="shared" si="12"/>
        <v>134338.1139</v>
      </c>
      <c r="I51" s="5">
        <f t="shared" si="12"/>
        <v>11469.467000000001</v>
      </c>
      <c r="J51" s="5">
        <f t="shared" si="12"/>
        <v>70.699999999999989</v>
      </c>
      <c r="K51" s="5">
        <f t="shared" si="12"/>
        <v>638.20100000000002</v>
      </c>
      <c r="L51" s="5">
        <f t="shared" si="12"/>
        <v>5.75</v>
      </c>
      <c r="M51" s="5">
        <f t="shared" si="12"/>
        <v>12.67</v>
      </c>
      <c r="N51" s="5">
        <f t="shared" si="12"/>
        <v>11534.417000000001</v>
      </c>
      <c r="O51" s="5">
        <f t="shared" si="12"/>
        <v>1563.7100000000003</v>
      </c>
      <c r="P51" s="5">
        <f t="shared" si="12"/>
        <v>22.76</v>
      </c>
      <c r="Q51" s="5">
        <f t="shared" si="12"/>
        <v>45.469999999999992</v>
      </c>
      <c r="R51" s="5">
        <f t="shared" si="12"/>
        <v>0</v>
      </c>
      <c r="S51" s="5">
        <f t="shared" si="12"/>
        <v>136.24</v>
      </c>
      <c r="T51" s="5">
        <f t="shared" si="12"/>
        <v>1586.47</v>
      </c>
      <c r="U51" s="5">
        <f t="shared" si="12"/>
        <v>147459.00089999998</v>
      </c>
    </row>
    <row r="52" spans="1:23" s="4" customFormat="1" ht="38.25" customHeight="1">
      <c r="A52" s="9"/>
      <c r="B52" s="81"/>
      <c r="C52" s="68"/>
      <c r="D52" s="75"/>
      <c r="E52" s="75"/>
      <c r="F52" s="75"/>
      <c r="G52" s="75"/>
      <c r="H52" s="75"/>
      <c r="I52" s="68"/>
      <c r="J52" s="75"/>
      <c r="K52" s="75"/>
      <c r="L52" s="75"/>
      <c r="M52" s="75"/>
      <c r="N52" s="75"/>
      <c r="O52" s="68"/>
      <c r="P52" s="75"/>
      <c r="Q52" s="75"/>
      <c r="R52" s="75"/>
      <c r="S52" s="75"/>
      <c r="T52" s="75"/>
      <c r="U52" s="75"/>
    </row>
    <row r="53" spans="1:23" s="9" customFormat="1" ht="24.75" customHeight="1">
      <c r="B53" s="11"/>
      <c r="C53" s="88" t="s">
        <v>58</v>
      </c>
      <c r="D53" s="88"/>
      <c r="E53" s="88"/>
      <c r="F53" s="88"/>
      <c r="G53" s="88"/>
      <c r="H53" s="12"/>
      <c r="I53" s="75"/>
      <c r="J53" s="75">
        <f>D51+J51+P51-F51-L51-R51</f>
        <v>205.70999999999992</v>
      </c>
      <c r="K53" s="75"/>
      <c r="L53" s="75"/>
      <c r="M53" s="75"/>
      <c r="N53" s="75"/>
      <c r="R53" s="75"/>
      <c r="U53" s="75"/>
    </row>
    <row r="54" spans="1:23" s="9" customFormat="1" ht="30" customHeight="1">
      <c r="B54" s="11"/>
      <c r="C54" s="88" t="s">
        <v>59</v>
      </c>
      <c r="D54" s="88"/>
      <c r="E54" s="88"/>
      <c r="F54" s="88"/>
      <c r="G54" s="88"/>
      <c r="H54" s="13"/>
      <c r="I54" s="75"/>
      <c r="J54" s="75">
        <f>E51+K51+Q51-G51-M51-S51</f>
        <v>15436.755999999999</v>
      </c>
      <c r="K54" s="75"/>
      <c r="L54" s="75"/>
      <c r="M54" s="75"/>
      <c r="N54" s="75"/>
      <c r="R54" s="75"/>
      <c r="T54" s="75"/>
    </row>
    <row r="55" spans="1:23" ht="44.25" customHeight="1">
      <c r="C55" s="88" t="s">
        <v>60</v>
      </c>
      <c r="D55" s="88"/>
      <c r="E55" s="88"/>
      <c r="F55" s="88"/>
      <c r="G55" s="88"/>
      <c r="H55" s="13"/>
      <c r="I55" s="15"/>
      <c r="J55" s="11">
        <f>H51+N51+T51</f>
        <v>147459.00090000001</v>
      </c>
      <c r="K55" s="13"/>
      <c r="L55" s="13"/>
      <c r="M55" s="16"/>
      <c r="N55" s="13"/>
      <c r="P55" s="9"/>
      <c r="Q55" s="17"/>
      <c r="U55" s="17"/>
    </row>
    <row r="56" spans="1:23" ht="24" customHeight="1">
      <c r="C56" s="75"/>
      <c r="D56" s="75"/>
      <c r="E56" s="75"/>
      <c r="F56" s="75"/>
      <c r="G56" s="75"/>
      <c r="H56" s="13"/>
      <c r="I56" s="15"/>
      <c r="J56" s="11"/>
      <c r="K56" s="13"/>
      <c r="L56" s="13"/>
      <c r="M56" s="16"/>
      <c r="N56" s="13"/>
      <c r="P56" s="9"/>
      <c r="Q56" s="17"/>
      <c r="U56" s="17"/>
    </row>
    <row r="57" spans="1:23" s="52" customFormat="1" ht="44.25" customHeight="1">
      <c r="B57" s="93" t="s">
        <v>74</v>
      </c>
      <c r="C57" s="93"/>
      <c r="D57" s="93"/>
      <c r="E57" s="93"/>
      <c r="F57" s="93"/>
      <c r="H57" s="53"/>
      <c r="I57" s="54" t="e">
        <f>#REF!+'[3]dec 2023'!H53</f>
        <v>#REF!</v>
      </c>
      <c r="J57" s="53"/>
      <c r="K57" s="55"/>
      <c r="L57" s="55"/>
      <c r="M57" s="56">
        <f>'[4]March 2022'!H55+'[3]dec 2023'!H53</f>
        <v>0</v>
      </c>
      <c r="Q57" s="93" t="s">
        <v>75</v>
      </c>
      <c r="R57" s="93"/>
      <c r="S57" s="93"/>
      <c r="T57" s="93"/>
      <c r="U57" s="93"/>
    </row>
    <row r="58" spans="1:23" s="52" customFormat="1" ht="29.25" customHeight="1">
      <c r="B58" s="93" t="s">
        <v>76</v>
      </c>
      <c r="C58" s="93"/>
      <c r="D58" s="93"/>
      <c r="E58" s="93"/>
      <c r="F58" s="93"/>
      <c r="G58" s="57"/>
      <c r="H58" s="58">
        <f>'[5]feb 2021'!H55+'[3]dec 2023'!H53</f>
        <v>0</v>
      </c>
      <c r="I58" s="57"/>
      <c r="J58" s="59"/>
      <c r="K58" s="55"/>
      <c r="L58" s="55"/>
      <c r="M58" s="55"/>
      <c r="Q58" s="93" t="s">
        <v>76</v>
      </c>
      <c r="R58" s="93"/>
      <c r="S58" s="93"/>
      <c r="T58" s="93"/>
      <c r="U58" s="93"/>
    </row>
    <row r="59" spans="1:23" s="52" customFormat="1" ht="27.75">
      <c r="B59" s="60"/>
      <c r="F59" s="61"/>
      <c r="I59" s="57"/>
      <c r="J59" s="61"/>
      <c r="Q59" s="62"/>
      <c r="R59" s="62"/>
      <c r="S59" s="81"/>
      <c r="T59" s="62"/>
      <c r="U59" s="62"/>
      <c r="V59" s="62"/>
      <c r="W59" s="62"/>
    </row>
    <row r="60" spans="1:23" s="52" customFormat="1" ht="39" customHeight="1">
      <c r="B60" s="60"/>
      <c r="G60" s="58">
        <f>'[5]May 2020'!H53+'[3]dec 2023'!H53</f>
        <v>0</v>
      </c>
      <c r="J60" s="92" t="s">
        <v>77</v>
      </c>
      <c r="K60" s="92"/>
      <c r="L60" s="92"/>
      <c r="O60" s="62"/>
      <c r="S60" s="61"/>
      <c r="U60" s="62"/>
      <c r="V60" s="62"/>
      <c r="W60" s="62"/>
    </row>
    <row r="61" spans="1:23" s="52" customFormat="1" ht="30.75" customHeight="1">
      <c r="B61" s="60"/>
      <c r="H61" s="53"/>
      <c r="J61" s="92" t="s">
        <v>78</v>
      </c>
      <c r="K61" s="92"/>
      <c r="L61" s="92"/>
      <c r="O61" s="62"/>
      <c r="S61" s="61"/>
      <c r="U61" s="62"/>
      <c r="V61" s="62"/>
      <c r="W61" s="62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W20:W23"/>
    <mergeCell ref="W29:W32"/>
    <mergeCell ref="H5:H6"/>
    <mergeCell ref="I5:I6"/>
    <mergeCell ref="J5:K5"/>
    <mergeCell ref="L5:M5"/>
    <mergeCell ref="N5:N6"/>
    <mergeCell ref="O5:O6"/>
    <mergeCell ref="Q57:U57"/>
    <mergeCell ref="B58:F58"/>
    <mergeCell ref="Q58:U58"/>
    <mergeCell ref="P5:Q5"/>
    <mergeCell ref="R5:S5"/>
    <mergeCell ref="T5:T6"/>
    <mergeCell ref="U5:U6"/>
    <mergeCell ref="J60:L60"/>
    <mergeCell ref="J61:L61"/>
    <mergeCell ref="C53:G53"/>
    <mergeCell ref="C54:G54"/>
    <mergeCell ref="C55:G55"/>
    <mergeCell ref="B57:F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A37" zoomScale="39" zoomScaleNormal="39" workbookViewId="0">
      <selection activeCell="A49" sqref="A49:XFD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'March 2023'!H7</f>
        <v>7.179999999999982</v>
      </c>
      <c r="D7" s="3">
        <v>0</v>
      </c>
      <c r="E7" s="3">
        <f>D7</f>
        <v>0</v>
      </c>
      <c r="F7" s="3">
        <v>0</v>
      </c>
      <c r="G7" s="3">
        <f>F7</f>
        <v>0</v>
      </c>
      <c r="H7" s="3">
        <f>C7+D7-F7</f>
        <v>7.179999999999982</v>
      </c>
      <c r="I7" s="3">
        <f>'March 2023'!N7</f>
        <v>714.45699999999977</v>
      </c>
      <c r="J7" s="3">
        <v>3.2850000000000001</v>
      </c>
      <c r="K7" s="3">
        <f>J7</f>
        <v>3.2850000000000001</v>
      </c>
      <c r="L7" s="3">
        <v>0</v>
      </c>
      <c r="M7" s="3">
        <f>L7</f>
        <v>0</v>
      </c>
      <c r="N7" s="3">
        <f>I7+J7-L7</f>
        <v>717.74199999999973</v>
      </c>
      <c r="O7" s="3">
        <f>'March 2023'!T7</f>
        <v>8.436000000000007</v>
      </c>
      <c r="P7" s="3">
        <v>0</v>
      </c>
      <c r="Q7" s="3">
        <f>P7</f>
        <v>0</v>
      </c>
      <c r="R7" s="3">
        <v>0</v>
      </c>
      <c r="S7" s="3">
        <f>R7</f>
        <v>0</v>
      </c>
      <c r="T7" s="3">
        <f>O7+P7-R7</f>
        <v>8.436000000000007</v>
      </c>
      <c r="U7" s="3">
        <f>H7+N7+T7</f>
        <v>733.35799999999972</v>
      </c>
    </row>
    <row r="8" spans="1:22" ht="38.25" customHeight="1">
      <c r="A8" s="35">
        <v>2</v>
      </c>
      <c r="B8" s="38" t="s">
        <v>14</v>
      </c>
      <c r="C8" s="3">
        <f>'March 2023'!H8</f>
        <v>265.98999999999995</v>
      </c>
      <c r="D8" s="3">
        <v>0</v>
      </c>
      <c r="E8" s="3">
        <f t="shared" ref="E8:E48" si="0">D8</f>
        <v>0</v>
      </c>
      <c r="F8" s="3">
        <v>0</v>
      </c>
      <c r="G8" s="3">
        <f t="shared" ref="G8:G48" si="1">F8</f>
        <v>0</v>
      </c>
      <c r="H8" s="3">
        <f t="shared" ref="H8:H48" si="2">C8+D8-F8</f>
        <v>265.98999999999995</v>
      </c>
      <c r="I8" s="3">
        <f>'March 2023'!N8</f>
        <v>398.14600000000007</v>
      </c>
      <c r="J8" s="3">
        <v>4.1050000000000004</v>
      </c>
      <c r="K8" s="3">
        <f t="shared" ref="K8:K48" si="3">J8</f>
        <v>4.1050000000000004</v>
      </c>
      <c r="L8" s="3">
        <v>0</v>
      </c>
      <c r="M8" s="3">
        <f t="shared" ref="M8:M48" si="4">L8</f>
        <v>0</v>
      </c>
      <c r="N8" s="3">
        <f t="shared" ref="N8:N48" si="5">I8+J8-L8</f>
        <v>402.25100000000009</v>
      </c>
      <c r="O8" s="3">
        <f>'March 2023'!T8</f>
        <v>66.290000000000006</v>
      </c>
      <c r="P8" s="3">
        <v>0</v>
      </c>
      <c r="Q8" s="3">
        <f t="shared" ref="Q8:Q48" si="6">P8</f>
        <v>0</v>
      </c>
      <c r="R8" s="3">
        <v>0</v>
      </c>
      <c r="S8" s="3">
        <f t="shared" ref="S8:S48" si="7">R8</f>
        <v>0</v>
      </c>
      <c r="T8" s="3">
        <f t="shared" ref="T8:T48" si="8">O8+P8-R8</f>
        <v>66.290000000000006</v>
      </c>
      <c r="U8" s="3">
        <f t="shared" ref="U8:U48" si="9">H8+N8+T8</f>
        <v>734.53099999999995</v>
      </c>
    </row>
    <row r="9" spans="1:22" ht="38.25" customHeight="1">
      <c r="A9" s="35">
        <v>3</v>
      </c>
      <c r="B9" s="38" t="s">
        <v>15</v>
      </c>
      <c r="C9" s="3">
        <f>'March 2023'!H9</f>
        <v>209.16</v>
      </c>
      <c r="D9" s="3">
        <v>0</v>
      </c>
      <c r="E9" s="3">
        <f t="shared" si="0"/>
        <v>0</v>
      </c>
      <c r="F9" s="3">
        <v>0</v>
      </c>
      <c r="G9" s="3">
        <f t="shared" si="1"/>
        <v>0</v>
      </c>
      <c r="H9" s="3">
        <f t="shared" si="2"/>
        <v>209.16</v>
      </c>
      <c r="I9" s="3">
        <f>'March 2023'!N9</f>
        <v>903.24800000000005</v>
      </c>
      <c r="J9" s="3">
        <v>5.56</v>
      </c>
      <c r="K9" s="3">
        <f t="shared" si="3"/>
        <v>5.56</v>
      </c>
      <c r="L9" s="3">
        <v>0</v>
      </c>
      <c r="M9" s="3">
        <f t="shared" si="4"/>
        <v>0</v>
      </c>
      <c r="N9" s="3">
        <f t="shared" si="5"/>
        <v>908.80799999999999</v>
      </c>
      <c r="O9" s="3">
        <f>'March 2023'!T9</f>
        <v>44.739999999999995</v>
      </c>
      <c r="P9" s="3">
        <v>0</v>
      </c>
      <c r="Q9" s="3">
        <f t="shared" si="6"/>
        <v>0</v>
      </c>
      <c r="R9" s="3">
        <v>0</v>
      </c>
      <c r="S9" s="3">
        <f t="shared" si="7"/>
        <v>0</v>
      </c>
      <c r="T9" s="3">
        <f t="shared" si="8"/>
        <v>44.739999999999995</v>
      </c>
      <c r="U9" s="3">
        <f t="shared" si="9"/>
        <v>1162.7080000000001</v>
      </c>
    </row>
    <row r="10" spans="1:22" s="4" customFormat="1" ht="38.25" customHeight="1">
      <c r="A10" s="35">
        <v>4</v>
      </c>
      <c r="B10" s="38" t="s">
        <v>16</v>
      </c>
      <c r="C10" s="3">
        <f>'March 2023'!H10</f>
        <v>0</v>
      </c>
      <c r="D10" s="3">
        <v>0</v>
      </c>
      <c r="E10" s="3">
        <f t="shared" si="0"/>
        <v>0</v>
      </c>
      <c r="F10" s="3">
        <v>0</v>
      </c>
      <c r="G10" s="3">
        <f t="shared" si="1"/>
        <v>0</v>
      </c>
      <c r="H10" s="3">
        <f t="shared" si="2"/>
        <v>0</v>
      </c>
      <c r="I10" s="3">
        <f>'March 2023'!N10</f>
        <v>364.9729999999999</v>
      </c>
      <c r="J10" s="3">
        <v>1.0960000000000001</v>
      </c>
      <c r="K10" s="3">
        <f t="shared" si="3"/>
        <v>1.0960000000000001</v>
      </c>
      <c r="L10" s="3">
        <v>0</v>
      </c>
      <c r="M10" s="3">
        <f t="shared" si="4"/>
        <v>0</v>
      </c>
      <c r="N10" s="3">
        <f t="shared" si="5"/>
        <v>366.0689999999999</v>
      </c>
      <c r="O10" s="3">
        <f>'March 2023'!T10</f>
        <v>0.20000000000000007</v>
      </c>
      <c r="P10" s="3">
        <v>0</v>
      </c>
      <c r="Q10" s="3">
        <f t="shared" si="6"/>
        <v>0</v>
      </c>
      <c r="R10" s="3">
        <v>0</v>
      </c>
      <c r="S10" s="3">
        <f t="shared" si="7"/>
        <v>0</v>
      </c>
      <c r="T10" s="3">
        <f t="shared" si="8"/>
        <v>0.20000000000000007</v>
      </c>
      <c r="U10" s="3">
        <f t="shared" si="9"/>
        <v>366.26899999999989</v>
      </c>
    </row>
    <row r="11" spans="1:22" s="4" customFormat="1" ht="38.25" customHeight="1">
      <c r="A11" s="34"/>
      <c r="B11" s="37" t="s">
        <v>17</v>
      </c>
      <c r="C11" s="5">
        <f>'March 2023'!H11</f>
        <v>482.33</v>
      </c>
      <c r="D11" s="5">
        <f t="shared" ref="D11:U11" si="10">SUM(D7:D10)</f>
        <v>0</v>
      </c>
      <c r="E11" s="5">
        <f t="shared" si="10"/>
        <v>0</v>
      </c>
      <c r="F11" s="5">
        <f t="shared" si="10"/>
        <v>0</v>
      </c>
      <c r="G11" s="5">
        <f t="shared" si="10"/>
        <v>0</v>
      </c>
      <c r="H11" s="5">
        <f t="shared" si="10"/>
        <v>482.32999999999993</v>
      </c>
      <c r="I11" s="5">
        <f>'March 2023'!N11</f>
        <v>2380.8239999999996</v>
      </c>
      <c r="J11" s="5">
        <f t="shared" si="10"/>
        <v>14.045999999999999</v>
      </c>
      <c r="K11" s="5">
        <f t="shared" si="10"/>
        <v>14.045999999999999</v>
      </c>
      <c r="L11" s="5">
        <f t="shared" si="10"/>
        <v>0</v>
      </c>
      <c r="M11" s="5">
        <f t="shared" si="10"/>
        <v>0</v>
      </c>
      <c r="N11" s="5">
        <f t="shared" si="10"/>
        <v>2394.87</v>
      </c>
      <c r="O11" s="5">
        <f>'March 2023'!T11</f>
        <v>119.66600000000001</v>
      </c>
      <c r="P11" s="5">
        <f t="shared" si="10"/>
        <v>0</v>
      </c>
      <c r="Q11" s="5">
        <f t="shared" si="10"/>
        <v>0</v>
      </c>
      <c r="R11" s="5">
        <f t="shared" si="10"/>
        <v>0</v>
      </c>
      <c r="S11" s="5">
        <f t="shared" si="10"/>
        <v>0</v>
      </c>
      <c r="T11" s="5">
        <f t="shared" si="10"/>
        <v>119.66600000000001</v>
      </c>
      <c r="U11" s="5">
        <f t="shared" si="10"/>
        <v>2996.8659999999995</v>
      </c>
      <c r="V11" s="5"/>
    </row>
    <row r="12" spans="1:22" ht="38.25" customHeight="1">
      <c r="A12" s="35">
        <v>5</v>
      </c>
      <c r="B12" s="38" t="s">
        <v>18</v>
      </c>
      <c r="C12" s="3">
        <f>'March 2023'!H12</f>
        <v>22.179999999999609</v>
      </c>
      <c r="D12" s="3">
        <v>0</v>
      </c>
      <c r="E12" s="3">
        <f t="shared" si="0"/>
        <v>0</v>
      </c>
      <c r="F12" s="3">
        <v>0</v>
      </c>
      <c r="G12" s="3">
        <f t="shared" si="1"/>
        <v>0</v>
      </c>
      <c r="H12" s="3">
        <f t="shared" si="2"/>
        <v>22.179999999999609</v>
      </c>
      <c r="I12" s="3">
        <f>'March 2023'!N12</f>
        <v>1276.4349999999997</v>
      </c>
      <c r="J12" s="25">
        <v>2.41</v>
      </c>
      <c r="K12" s="3">
        <f t="shared" si="3"/>
        <v>2.41</v>
      </c>
      <c r="L12" s="3">
        <v>0</v>
      </c>
      <c r="M12" s="3">
        <f t="shared" si="4"/>
        <v>0</v>
      </c>
      <c r="N12" s="3">
        <f t="shared" si="5"/>
        <v>1278.8449999999998</v>
      </c>
      <c r="O12" s="3">
        <f>'March 2023'!T12</f>
        <v>1.9700000000000095</v>
      </c>
      <c r="P12" s="3">
        <v>0</v>
      </c>
      <c r="Q12" s="3">
        <f t="shared" si="6"/>
        <v>0</v>
      </c>
      <c r="R12" s="3">
        <v>0</v>
      </c>
      <c r="S12" s="3">
        <f t="shared" si="7"/>
        <v>0</v>
      </c>
      <c r="T12" s="3">
        <f t="shared" si="8"/>
        <v>1.9700000000000095</v>
      </c>
      <c r="U12" s="3">
        <f t="shared" si="9"/>
        <v>1302.9949999999994</v>
      </c>
    </row>
    <row r="13" spans="1:22" ht="38.25" customHeight="1">
      <c r="A13" s="35">
        <v>6</v>
      </c>
      <c r="B13" s="38" t="s">
        <v>19</v>
      </c>
      <c r="C13" s="3">
        <f>'March 2023'!H13</f>
        <v>312.23000000000013</v>
      </c>
      <c r="D13" s="3">
        <v>0</v>
      </c>
      <c r="E13" s="3">
        <f t="shared" si="0"/>
        <v>0</v>
      </c>
      <c r="F13" s="3">
        <v>0</v>
      </c>
      <c r="G13" s="3">
        <f t="shared" si="1"/>
        <v>0</v>
      </c>
      <c r="H13" s="3">
        <f t="shared" si="2"/>
        <v>312.23000000000013</v>
      </c>
      <c r="I13" s="3">
        <f>'March 2023'!N13</f>
        <v>545.53200000000015</v>
      </c>
      <c r="J13" s="25">
        <v>1.85</v>
      </c>
      <c r="K13" s="3">
        <f t="shared" si="3"/>
        <v>1.85</v>
      </c>
      <c r="L13" s="3">
        <v>0</v>
      </c>
      <c r="M13" s="3">
        <f t="shared" si="4"/>
        <v>0</v>
      </c>
      <c r="N13" s="3">
        <f t="shared" si="5"/>
        <v>547.38200000000018</v>
      </c>
      <c r="O13" s="3">
        <f>'March 2023'!T13</f>
        <v>68.39</v>
      </c>
      <c r="P13" s="3">
        <v>0</v>
      </c>
      <c r="Q13" s="3">
        <f t="shared" si="6"/>
        <v>0</v>
      </c>
      <c r="R13" s="3">
        <v>0</v>
      </c>
      <c r="S13" s="3">
        <f t="shared" si="7"/>
        <v>0</v>
      </c>
      <c r="T13" s="3">
        <f t="shared" si="8"/>
        <v>68.39</v>
      </c>
      <c r="U13" s="3">
        <f t="shared" si="9"/>
        <v>928.00200000000029</v>
      </c>
    </row>
    <row r="14" spans="1:22" s="4" customFormat="1" ht="38.25" customHeight="1">
      <c r="A14" s="35">
        <v>7</v>
      </c>
      <c r="B14" s="38" t="s">
        <v>20</v>
      </c>
      <c r="C14" s="3">
        <f>'March 2023'!H14</f>
        <v>1216.4399999999994</v>
      </c>
      <c r="D14" s="3">
        <v>0</v>
      </c>
      <c r="E14" s="3">
        <f t="shared" si="0"/>
        <v>0</v>
      </c>
      <c r="F14" s="3">
        <v>0</v>
      </c>
      <c r="G14" s="3">
        <f t="shared" si="1"/>
        <v>0</v>
      </c>
      <c r="H14" s="3">
        <f t="shared" si="2"/>
        <v>1216.4399999999994</v>
      </c>
      <c r="I14" s="3">
        <f>'March 2023'!N14</f>
        <v>903.49800000000027</v>
      </c>
      <c r="J14" s="25">
        <v>9.61</v>
      </c>
      <c r="K14" s="3">
        <f t="shared" si="3"/>
        <v>9.61</v>
      </c>
      <c r="L14" s="3">
        <v>0</v>
      </c>
      <c r="M14" s="3">
        <f t="shared" si="4"/>
        <v>0</v>
      </c>
      <c r="N14" s="3">
        <f t="shared" si="5"/>
        <v>913.10800000000029</v>
      </c>
      <c r="O14" s="3">
        <f>'March 2023'!T14</f>
        <v>61.329999999999991</v>
      </c>
      <c r="P14" s="3">
        <v>0</v>
      </c>
      <c r="Q14" s="3">
        <f t="shared" si="6"/>
        <v>0</v>
      </c>
      <c r="R14" s="3">
        <v>0</v>
      </c>
      <c r="S14" s="3">
        <f t="shared" si="7"/>
        <v>0</v>
      </c>
      <c r="T14" s="3">
        <f t="shared" si="8"/>
        <v>61.329999999999991</v>
      </c>
      <c r="U14" s="3">
        <f t="shared" si="9"/>
        <v>2190.8779999999997</v>
      </c>
    </row>
    <row r="15" spans="1:22" s="4" customFormat="1" ht="38.25" customHeight="1">
      <c r="A15" s="34"/>
      <c r="B15" s="37" t="s">
        <v>21</v>
      </c>
      <c r="C15" s="5">
        <f>'March 2023'!H15</f>
        <v>1550.849999999999</v>
      </c>
      <c r="D15" s="5">
        <f t="shared" ref="D15:U15" si="11">SUM(D12:D14)</f>
        <v>0</v>
      </c>
      <c r="E15" s="5">
        <f t="shared" si="11"/>
        <v>0</v>
      </c>
      <c r="F15" s="5">
        <f t="shared" si="11"/>
        <v>0</v>
      </c>
      <c r="G15" s="5">
        <f t="shared" si="11"/>
        <v>0</v>
      </c>
      <c r="H15" s="5">
        <f t="shared" si="11"/>
        <v>1550.849999999999</v>
      </c>
      <c r="I15" s="5">
        <f>'March 2023'!N15</f>
        <v>2725.4649999999997</v>
      </c>
      <c r="J15" s="5">
        <f t="shared" si="11"/>
        <v>13.87</v>
      </c>
      <c r="K15" s="5">
        <f t="shared" si="11"/>
        <v>13.87</v>
      </c>
      <c r="L15" s="5">
        <f t="shared" si="11"/>
        <v>0</v>
      </c>
      <c r="M15" s="5">
        <f t="shared" si="11"/>
        <v>0</v>
      </c>
      <c r="N15" s="5">
        <f t="shared" si="11"/>
        <v>2739.335</v>
      </c>
      <c r="O15" s="5">
        <f>'March 2023'!T15</f>
        <v>131.69</v>
      </c>
      <c r="P15" s="5">
        <f t="shared" si="11"/>
        <v>0</v>
      </c>
      <c r="Q15" s="5">
        <f t="shared" si="11"/>
        <v>0</v>
      </c>
      <c r="R15" s="5">
        <f t="shared" si="11"/>
        <v>0</v>
      </c>
      <c r="S15" s="5">
        <f t="shared" si="11"/>
        <v>0</v>
      </c>
      <c r="T15" s="5">
        <f t="shared" si="11"/>
        <v>131.69</v>
      </c>
      <c r="U15" s="5">
        <f t="shared" si="11"/>
        <v>4421.875</v>
      </c>
      <c r="V15" s="5">
        <f t="shared" ref="V15" si="12">SUM(V12:V14)</f>
        <v>0</v>
      </c>
    </row>
    <row r="16" spans="1:22" s="6" customFormat="1" ht="38.25" customHeight="1">
      <c r="A16" s="35">
        <v>8</v>
      </c>
      <c r="B16" s="38" t="s">
        <v>22</v>
      </c>
      <c r="C16" s="3">
        <f>'March 2023'!H16</f>
        <v>756.16400000000033</v>
      </c>
      <c r="D16" s="3">
        <v>0.42</v>
      </c>
      <c r="E16" s="3">
        <f t="shared" si="0"/>
        <v>0.42</v>
      </c>
      <c r="F16" s="3">
        <v>4.2300000000000004</v>
      </c>
      <c r="G16" s="3">
        <f t="shared" si="1"/>
        <v>4.2300000000000004</v>
      </c>
      <c r="H16" s="3">
        <f t="shared" si="2"/>
        <v>752.35400000000027</v>
      </c>
      <c r="I16" s="3">
        <f>'March 2023'!N16</f>
        <v>576.97600000000011</v>
      </c>
      <c r="J16" s="3">
        <v>0.45</v>
      </c>
      <c r="K16" s="3">
        <f t="shared" si="3"/>
        <v>0.45</v>
      </c>
      <c r="L16" s="3">
        <v>0</v>
      </c>
      <c r="M16" s="3">
        <f t="shared" si="4"/>
        <v>0</v>
      </c>
      <c r="N16" s="3">
        <f t="shared" si="5"/>
        <v>577.42600000000016</v>
      </c>
      <c r="O16" s="3">
        <f>'March 2023'!T16</f>
        <v>177.44200000000004</v>
      </c>
      <c r="P16" s="3">
        <v>0.03</v>
      </c>
      <c r="Q16" s="3">
        <f t="shared" si="6"/>
        <v>0.03</v>
      </c>
      <c r="R16" s="3">
        <v>0</v>
      </c>
      <c r="S16" s="3">
        <f t="shared" si="7"/>
        <v>0</v>
      </c>
      <c r="T16" s="3">
        <f t="shared" si="8"/>
        <v>177.47200000000004</v>
      </c>
      <c r="U16" s="3">
        <f t="shared" si="9"/>
        <v>1507.2520000000004</v>
      </c>
    </row>
    <row r="17" spans="1:23" ht="61.5" customHeight="1">
      <c r="A17" s="7">
        <v>9</v>
      </c>
      <c r="B17" s="8" t="s">
        <v>23</v>
      </c>
      <c r="C17" s="3">
        <f>'March 2023'!H17</f>
        <v>2.6759999999999478</v>
      </c>
      <c r="D17" s="3">
        <v>0</v>
      </c>
      <c r="E17" s="3">
        <f t="shared" si="0"/>
        <v>0</v>
      </c>
      <c r="F17" s="3">
        <v>0</v>
      </c>
      <c r="G17" s="3">
        <f t="shared" si="1"/>
        <v>0</v>
      </c>
      <c r="H17" s="3">
        <f t="shared" si="2"/>
        <v>2.6759999999999478</v>
      </c>
      <c r="I17" s="3">
        <f>'March 2023'!N17</f>
        <v>589.12</v>
      </c>
      <c r="J17" s="3">
        <v>5.93</v>
      </c>
      <c r="K17" s="3">
        <f t="shared" si="3"/>
        <v>5.93</v>
      </c>
      <c r="L17" s="3">
        <v>0</v>
      </c>
      <c r="M17" s="3">
        <f t="shared" si="4"/>
        <v>0</v>
      </c>
      <c r="N17" s="3">
        <f t="shared" si="5"/>
        <v>595.04999999999995</v>
      </c>
      <c r="O17" s="3">
        <f>'March 2023'!T17</f>
        <v>1.9500000000000002</v>
      </c>
      <c r="P17" s="3">
        <v>0</v>
      </c>
      <c r="Q17" s="3">
        <v>0</v>
      </c>
      <c r="R17" s="3">
        <v>0</v>
      </c>
      <c r="S17" s="3">
        <f t="shared" si="7"/>
        <v>0</v>
      </c>
      <c r="T17" s="3">
        <f t="shared" si="8"/>
        <v>1.9500000000000002</v>
      </c>
      <c r="U17" s="3">
        <f t="shared" si="9"/>
        <v>599.67599999999993</v>
      </c>
    </row>
    <row r="18" spans="1:23" s="4" customFormat="1" ht="38.25" customHeight="1">
      <c r="A18" s="35">
        <v>10</v>
      </c>
      <c r="B18" s="38" t="s">
        <v>24</v>
      </c>
      <c r="C18" s="3">
        <f>'March 2023'!H18</f>
        <v>90.266000000000147</v>
      </c>
      <c r="D18" s="3">
        <v>0.05</v>
      </c>
      <c r="E18" s="3">
        <f t="shared" si="0"/>
        <v>0.05</v>
      </c>
      <c r="F18" s="3">
        <v>0.05</v>
      </c>
      <c r="G18" s="3">
        <f t="shared" si="1"/>
        <v>0.05</v>
      </c>
      <c r="H18" s="3">
        <f t="shared" si="2"/>
        <v>90.266000000000147</v>
      </c>
      <c r="I18" s="3">
        <f>'March 2023'!N18</f>
        <v>617.29500000000007</v>
      </c>
      <c r="J18" s="3">
        <f>1.025+1.53</f>
        <v>2.5549999999999997</v>
      </c>
      <c r="K18" s="3">
        <f t="shared" si="3"/>
        <v>2.5549999999999997</v>
      </c>
      <c r="L18" s="3">
        <v>0</v>
      </c>
      <c r="M18" s="3">
        <f t="shared" si="4"/>
        <v>0</v>
      </c>
      <c r="N18" s="3">
        <f t="shared" si="5"/>
        <v>619.85</v>
      </c>
      <c r="O18" s="3">
        <f>'March 2023'!T18</f>
        <v>35.689999999999991</v>
      </c>
      <c r="P18" s="3">
        <v>0</v>
      </c>
      <c r="Q18" s="3">
        <f t="shared" si="6"/>
        <v>0</v>
      </c>
      <c r="R18" s="3">
        <v>0</v>
      </c>
      <c r="S18" s="3">
        <f t="shared" si="7"/>
        <v>0</v>
      </c>
      <c r="T18" s="3">
        <f t="shared" si="8"/>
        <v>35.689999999999991</v>
      </c>
      <c r="U18" s="3">
        <f t="shared" si="9"/>
        <v>745.80600000000015</v>
      </c>
    </row>
    <row r="19" spans="1:23" s="4" customFormat="1" ht="38.25" customHeight="1">
      <c r="A19" s="34"/>
      <c r="B19" s="37" t="s">
        <v>25</v>
      </c>
      <c r="C19" s="5">
        <f>'March 2023'!H19</f>
        <v>849.10600000000045</v>
      </c>
      <c r="D19" s="5">
        <f t="shared" ref="D19:U19" si="13">SUM(D16:D18)</f>
        <v>0.47</v>
      </c>
      <c r="E19" s="5">
        <f t="shared" si="13"/>
        <v>0.47</v>
      </c>
      <c r="F19" s="5">
        <f t="shared" si="13"/>
        <v>4.28</v>
      </c>
      <c r="G19" s="5">
        <f t="shared" si="13"/>
        <v>4.28</v>
      </c>
      <c r="H19" s="5">
        <f t="shared" si="13"/>
        <v>845.29600000000039</v>
      </c>
      <c r="I19" s="5">
        <f>'March 2023'!N19</f>
        <v>1783.3910000000003</v>
      </c>
      <c r="J19" s="5">
        <f t="shared" si="13"/>
        <v>8.9349999999999987</v>
      </c>
      <c r="K19" s="5">
        <f t="shared" si="13"/>
        <v>8.9349999999999987</v>
      </c>
      <c r="L19" s="5">
        <f t="shared" si="13"/>
        <v>0</v>
      </c>
      <c r="M19" s="5">
        <f t="shared" si="13"/>
        <v>0</v>
      </c>
      <c r="N19" s="5">
        <f t="shared" si="13"/>
        <v>1792.326</v>
      </c>
      <c r="O19" s="5">
        <f>'March 2023'!T19</f>
        <v>215.08200000000002</v>
      </c>
      <c r="P19" s="5">
        <f t="shared" si="13"/>
        <v>0.03</v>
      </c>
      <c r="Q19" s="5">
        <f t="shared" si="13"/>
        <v>0.03</v>
      </c>
      <c r="R19" s="5">
        <f t="shared" si="13"/>
        <v>0</v>
      </c>
      <c r="S19" s="5">
        <f t="shared" si="13"/>
        <v>0</v>
      </c>
      <c r="T19" s="5">
        <f t="shared" si="13"/>
        <v>215.11200000000002</v>
      </c>
      <c r="U19" s="5">
        <f t="shared" si="13"/>
        <v>2852.7340000000004</v>
      </c>
    </row>
    <row r="20" spans="1:23" ht="38.25" customHeight="1">
      <c r="A20" s="35">
        <v>11</v>
      </c>
      <c r="B20" s="38" t="s">
        <v>26</v>
      </c>
      <c r="C20" s="3">
        <f>'March 2023'!H20</f>
        <v>607.42999999999984</v>
      </c>
      <c r="D20" s="3">
        <v>0</v>
      </c>
      <c r="E20" s="3">
        <f t="shared" si="0"/>
        <v>0</v>
      </c>
      <c r="F20" s="3">
        <v>0</v>
      </c>
      <c r="G20" s="3">
        <f t="shared" si="1"/>
        <v>0</v>
      </c>
      <c r="H20" s="3">
        <f t="shared" si="2"/>
        <v>607.42999999999984</v>
      </c>
      <c r="I20" s="3">
        <f>'March 2023'!N20</f>
        <v>748.40800000000024</v>
      </c>
      <c r="J20" s="3">
        <v>0.74</v>
      </c>
      <c r="K20" s="3">
        <f t="shared" si="3"/>
        <v>0.74</v>
      </c>
      <c r="L20" s="3">
        <v>0.02</v>
      </c>
      <c r="M20" s="3">
        <f t="shared" si="4"/>
        <v>0.02</v>
      </c>
      <c r="N20" s="3">
        <f t="shared" si="5"/>
        <v>749.12800000000027</v>
      </c>
      <c r="O20" s="3">
        <f>'March 2023'!T20</f>
        <v>37.580000000000005</v>
      </c>
      <c r="P20" s="3">
        <v>0</v>
      </c>
      <c r="Q20" s="3">
        <f t="shared" si="6"/>
        <v>0</v>
      </c>
      <c r="R20" s="3">
        <v>0</v>
      </c>
      <c r="S20" s="3">
        <f t="shared" si="7"/>
        <v>0</v>
      </c>
      <c r="T20" s="3">
        <f t="shared" si="8"/>
        <v>37.580000000000005</v>
      </c>
      <c r="U20" s="3">
        <f t="shared" si="9"/>
        <v>1394.1379999999999</v>
      </c>
      <c r="W20" s="90"/>
    </row>
    <row r="21" spans="1:23" ht="38.25" customHeight="1">
      <c r="A21" s="35">
        <v>12</v>
      </c>
      <c r="B21" s="38" t="s">
        <v>27</v>
      </c>
      <c r="C21" s="3">
        <f>'March 2023'!H21</f>
        <v>2.0700000000000003</v>
      </c>
      <c r="D21" s="3">
        <v>0</v>
      </c>
      <c r="E21" s="3">
        <f t="shared" si="0"/>
        <v>0</v>
      </c>
      <c r="F21" s="3">
        <v>0</v>
      </c>
      <c r="G21" s="3">
        <f t="shared" si="1"/>
        <v>0</v>
      </c>
      <c r="H21" s="3">
        <f t="shared" si="2"/>
        <v>2.0700000000000003</v>
      </c>
      <c r="I21" s="3">
        <f>'March 2023'!N21</f>
        <v>461.42700000000008</v>
      </c>
      <c r="J21" s="3">
        <v>0.35</v>
      </c>
      <c r="K21" s="3">
        <f t="shared" si="3"/>
        <v>0.35</v>
      </c>
      <c r="L21" s="3">
        <v>0.02</v>
      </c>
      <c r="M21" s="3">
        <f t="shared" si="4"/>
        <v>0.02</v>
      </c>
      <c r="N21" s="3">
        <f t="shared" si="5"/>
        <v>461.75700000000012</v>
      </c>
      <c r="O21" s="3">
        <f>'March 2023'!T21</f>
        <v>18.889999999999993</v>
      </c>
      <c r="P21" s="3">
        <v>0</v>
      </c>
      <c r="Q21" s="3">
        <f t="shared" si="6"/>
        <v>0</v>
      </c>
      <c r="R21" s="3">
        <v>0</v>
      </c>
      <c r="S21" s="3">
        <f t="shared" si="7"/>
        <v>0</v>
      </c>
      <c r="T21" s="3">
        <f t="shared" si="8"/>
        <v>18.889999999999993</v>
      </c>
      <c r="U21" s="3">
        <f t="shared" si="9"/>
        <v>482.7170000000001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'March 2023'!H22</f>
        <v>22.430000000000021</v>
      </c>
      <c r="D22" s="3">
        <v>0</v>
      </c>
      <c r="E22" s="3">
        <f t="shared" si="0"/>
        <v>0</v>
      </c>
      <c r="F22" s="3">
        <v>0</v>
      </c>
      <c r="G22" s="3">
        <f t="shared" si="1"/>
        <v>0</v>
      </c>
      <c r="H22" s="3">
        <f t="shared" si="2"/>
        <v>22.430000000000021</v>
      </c>
      <c r="I22" s="3">
        <f>'March 2023'!N22</f>
        <v>698.22000000000014</v>
      </c>
      <c r="J22" s="3">
        <v>0.33</v>
      </c>
      <c r="K22" s="3">
        <f t="shared" si="3"/>
        <v>0.33</v>
      </c>
      <c r="L22" s="3">
        <v>0</v>
      </c>
      <c r="M22" s="3">
        <f t="shared" si="4"/>
        <v>0</v>
      </c>
      <c r="N22" s="3">
        <f t="shared" si="5"/>
        <v>698.55000000000018</v>
      </c>
      <c r="O22" s="3">
        <f>'March 2023'!T22</f>
        <v>0.60000000000000098</v>
      </c>
      <c r="P22" s="3">
        <v>0</v>
      </c>
      <c r="Q22" s="3">
        <f t="shared" si="6"/>
        <v>0</v>
      </c>
      <c r="R22" s="3">
        <v>0</v>
      </c>
      <c r="S22" s="3">
        <f t="shared" si="7"/>
        <v>0</v>
      </c>
      <c r="T22" s="3">
        <f t="shared" si="8"/>
        <v>0.60000000000000098</v>
      </c>
      <c r="U22" s="3">
        <f t="shared" si="9"/>
        <v>721.58000000000027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'March 2023'!H23</f>
        <v>430.64</v>
      </c>
      <c r="D23" s="3">
        <v>0</v>
      </c>
      <c r="E23" s="3">
        <f t="shared" si="0"/>
        <v>0</v>
      </c>
      <c r="F23" s="3">
        <v>0</v>
      </c>
      <c r="G23" s="3">
        <f t="shared" si="1"/>
        <v>0</v>
      </c>
      <c r="H23" s="3">
        <f t="shared" si="2"/>
        <v>430.64</v>
      </c>
      <c r="I23" s="3">
        <f>'March 2023'!N23</f>
        <v>139.55499999999998</v>
      </c>
      <c r="J23" s="3">
        <v>0.74</v>
      </c>
      <c r="K23" s="3">
        <f t="shared" si="3"/>
        <v>0.74</v>
      </c>
      <c r="L23" s="3">
        <v>0</v>
      </c>
      <c r="M23" s="3">
        <f t="shared" si="4"/>
        <v>0</v>
      </c>
      <c r="N23" s="3">
        <f t="shared" si="5"/>
        <v>140.29499999999999</v>
      </c>
      <c r="O23" s="3">
        <f>'March 2023'!T23</f>
        <v>22.5</v>
      </c>
      <c r="P23" s="3">
        <v>0</v>
      </c>
      <c r="Q23" s="3">
        <f t="shared" si="6"/>
        <v>0</v>
      </c>
      <c r="R23" s="3">
        <v>0</v>
      </c>
      <c r="S23" s="3">
        <f t="shared" si="7"/>
        <v>0</v>
      </c>
      <c r="T23" s="3">
        <f t="shared" si="8"/>
        <v>22.5</v>
      </c>
      <c r="U23" s="3">
        <f t="shared" si="9"/>
        <v>593.43499999999995</v>
      </c>
      <c r="W23" s="90"/>
    </row>
    <row r="24" spans="1:23" s="4" customFormat="1" ht="38.25" customHeight="1">
      <c r="A24" s="34"/>
      <c r="B24" s="37" t="s">
        <v>30</v>
      </c>
      <c r="C24" s="5">
        <f>'March 2023'!H24</f>
        <v>1062.57</v>
      </c>
      <c r="D24" s="5">
        <f t="shared" ref="D24:U24" si="14">SUM(D20:D23)</f>
        <v>0</v>
      </c>
      <c r="E24" s="5">
        <f t="shared" si="14"/>
        <v>0</v>
      </c>
      <c r="F24" s="5">
        <f t="shared" si="14"/>
        <v>0</v>
      </c>
      <c r="G24" s="5">
        <f t="shared" si="14"/>
        <v>0</v>
      </c>
      <c r="H24" s="5">
        <f t="shared" si="14"/>
        <v>1062.57</v>
      </c>
      <c r="I24" s="5">
        <f>'March 2023'!N24</f>
        <v>2047.6100000000006</v>
      </c>
      <c r="J24" s="5">
        <f t="shared" si="14"/>
        <v>2.16</v>
      </c>
      <c r="K24" s="5">
        <f t="shared" si="14"/>
        <v>2.16</v>
      </c>
      <c r="L24" s="5">
        <f t="shared" si="14"/>
        <v>0.04</v>
      </c>
      <c r="M24" s="5">
        <f t="shared" si="14"/>
        <v>0.04</v>
      </c>
      <c r="N24" s="5">
        <f t="shared" si="14"/>
        <v>2049.7300000000005</v>
      </c>
      <c r="O24" s="5">
        <f>'March 2023'!T24</f>
        <v>79.570000000000007</v>
      </c>
      <c r="P24" s="5">
        <f t="shared" si="14"/>
        <v>0</v>
      </c>
      <c r="Q24" s="5">
        <f t="shared" si="14"/>
        <v>0</v>
      </c>
      <c r="R24" s="5">
        <f t="shared" si="14"/>
        <v>0</v>
      </c>
      <c r="S24" s="5">
        <f t="shared" si="14"/>
        <v>0</v>
      </c>
      <c r="T24" s="5">
        <f t="shared" si="14"/>
        <v>79.569999999999993</v>
      </c>
      <c r="U24" s="5">
        <f t="shared" si="14"/>
        <v>3191.8700000000003</v>
      </c>
    </row>
    <row r="25" spans="1:23" s="4" customFormat="1" ht="38.25" customHeight="1">
      <c r="A25" s="34"/>
      <c r="B25" s="37" t="s">
        <v>31</v>
      </c>
      <c r="C25" s="5">
        <f>'March 2023'!H25</f>
        <v>3944.8559999999989</v>
      </c>
      <c r="D25" s="5">
        <f t="shared" ref="D25:U25" si="15">D24+D19+D15+D11</f>
        <v>0.47</v>
      </c>
      <c r="E25" s="5">
        <f t="shared" si="15"/>
        <v>0.47</v>
      </c>
      <c r="F25" s="5">
        <f t="shared" si="15"/>
        <v>4.28</v>
      </c>
      <c r="G25" s="5">
        <f t="shared" si="15"/>
        <v>4.28</v>
      </c>
      <c r="H25" s="5">
        <f t="shared" si="15"/>
        <v>3941.0459999999994</v>
      </c>
      <c r="I25" s="5">
        <f>'March 2023'!N25</f>
        <v>8937.2900000000027</v>
      </c>
      <c r="J25" s="5">
        <f t="shared" si="15"/>
        <v>39.010999999999996</v>
      </c>
      <c r="K25" s="5">
        <f t="shared" si="15"/>
        <v>39.010999999999996</v>
      </c>
      <c r="L25" s="5">
        <f t="shared" si="15"/>
        <v>0.04</v>
      </c>
      <c r="M25" s="5">
        <f t="shared" si="15"/>
        <v>0.04</v>
      </c>
      <c r="N25" s="5">
        <f t="shared" si="15"/>
        <v>8976.2610000000004</v>
      </c>
      <c r="O25" s="5">
        <f>'March 2023'!T25</f>
        <v>546.00800000000004</v>
      </c>
      <c r="P25" s="5">
        <f t="shared" si="15"/>
        <v>0.03</v>
      </c>
      <c r="Q25" s="5">
        <f t="shared" si="15"/>
        <v>0.03</v>
      </c>
      <c r="R25" s="5">
        <f t="shared" si="15"/>
        <v>0</v>
      </c>
      <c r="S25" s="5">
        <f t="shared" si="15"/>
        <v>0</v>
      </c>
      <c r="T25" s="5">
        <f t="shared" si="15"/>
        <v>546.03800000000001</v>
      </c>
      <c r="U25" s="5">
        <f t="shared" si="15"/>
        <v>13463.345000000001</v>
      </c>
    </row>
    <row r="26" spans="1:23" ht="38.25" customHeight="1">
      <c r="A26" s="35">
        <v>15</v>
      </c>
      <c r="B26" s="38" t="s">
        <v>32</v>
      </c>
      <c r="C26" s="3">
        <f>'March 2023'!H26</f>
        <v>1628.29</v>
      </c>
      <c r="D26" s="3">
        <v>5.48</v>
      </c>
      <c r="E26" s="3">
        <f t="shared" si="0"/>
        <v>5.48</v>
      </c>
      <c r="F26" s="3">
        <v>0</v>
      </c>
      <c r="G26" s="3">
        <f t="shared" si="1"/>
        <v>0</v>
      </c>
      <c r="H26" s="3">
        <f t="shared" si="2"/>
        <v>1633.77</v>
      </c>
      <c r="I26" s="3">
        <f>'March 2023'!N26</f>
        <v>121.55</v>
      </c>
      <c r="J26" s="3">
        <v>0.62</v>
      </c>
      <c r="K26" s="3">
        <f t="shared" si="3"/>
        <v>0.62</v>
      </c>
      <c r="L26" s="3">
        <v>0</v>
      </c>
      <c r="M26" s="3">
        <f t="shared" si="4"/>
        <v>0</v>
      </c>
      <c r="N26" s="3">
        <f t="shared" si="5"/>
        <v>122.17</v>
      </c>
      <c r="O26" s="3">
        <f>'March 2023'!T26</f>
        <v>16.369999999999997</v>
      </c>
      <c r="P26" s="3">
        <v>0</v>
      </c>
      <c r="Q26" s="3">
        <f t="shared" si="6"/>
        <v>0</v>
      </c>
      <c r="R26" s="3">
        <v>0</v>
      </c>
      <c r="S26" s="3">
        <f t="shared" si="7"/>
        <v>0</v>
      </c>
      <c r="T26" s="3">
        <f t="shared" si="8"/>
        <v>16.369999999999997</v>
      </c>
      <c r="U26" s="3">
        <f t="shared" si="9"/>
        <v>1772.31</v>
      </c>
    </row>
    <row r="27" spans="1:23" s="4" customFormat="1" ht="38.25" customHeight="1">
      <c r="A27" s="35">
        <v>16</v>
      </c>
      <c r="B27" s="38" t="s">
        <v>33</v>
      </c>
      <c r="C27" s="3">
        <f>'March 2023'!H27</f>
        <v>5685.3750000000045</v>
      </c>
      <c r="D27" s="3">
        <v>7.76</v>
      </c>
      <c r="E27" s="3">
        <f t="shared" si="0"/>
        <v>7.76</v>
      </c>
      <c r="F27" s="3">
        <v>0.02</v>
      </c>
      <c r="G27" s="3">
        <f t="shared" si="1"/>
        <v>0.02</v>
      </c>
      <c r="H27" s="3">
        <f t="shared" si="2"/>
        <v>5693.1150000000043</v>
      </c>
      <c r="I27" s="3">
        <f>'March 2023'!N27</f>
        <v>634.17799999999988</v>
      </c>
      <c r="J27" s="3">
        <v>0.57999999999999996</v>
      </c>
      <c r="K27" s="3">
        <f t="shared" si="3"/>
        <v>0.57999999999999996</v>
      </c>
      <c r="L27" s="3">
        <v>0.02</v>
      </c>
      <c r="M27" s="3">
        <f t="shared" si="4"/>
        <v>0.02</v>
      </c>
      <c r="N27" s="3">
        <f t="shared" si="5"/>
        <v>634.73799999999994</v>
      </c>
      <c r="O27" s="3">
        <f>'March 2023'!T27</f>
        <v>33.800000000000004</v>
      </c>
      <c r="P27" s="3">
        <v>0</v>
      </c>
      <c r="Q27" s="3">
        <f t="shared" si="6"/>
        <v>0</v>
      </c>
      <c r="R27" s="3">
        <v>0</v>
      </c>
      <c r="S27" s="3">
        <f t="shared" si="7"/>
        <v>0</v>
      </c>
      <c r="T27" s="3">
        <f t="shared" si="8"/>
        <v>33.800000000000004</v>
      </c>
      <c r="U27" s="3">
        <f t="shared" si="9"/>
        <v>6361.6530000000048</v>
      </c>
    </row>
    <row r="28" spans="1:23" s="4" customFormat="1" ht="38.25" customHeight="1">
      <c r="A28" s="34"/>
      <c r="B28" s="37" t="s">
        <v>34</v>
      </c>
      <c r="C28" s="5">
        <f>'March 2023'!H28</f>
        <v>7313.6650000000045</v>
      </c>
      <c r="D28" s="5">
        <f t="shared" ref="D28:U28" si="16">SUM(D26:D27)</f>
        <v>13.24</v>
      </c>
      <c r="E28" s="5">
        <f t="shared" si="16"/>
        <v>13.24</v>
      </c>
      <c r="F28" s="5">
        <f t="shared" si="16"/>
        <v>0.02</v>
      </c>
      <c r="G28" s="5">
        <f t="shared" si="16"/>
        <v>0.02</v>
      </c>
      <c r="H28" s="5">
        <f t="shared" si="16"/>
        <v>7326.8850000000039</v>
      </c>
      <c r="I28" s="5">
        <f>'March 2023'!N28</f>
        <v>755.72799999999995</v>
      </c>
      <c r="J28" s="5">
        <f t="shared" si="16"/>
        <v>1.2</v>
      </c>
      <c r="K28" s="5">
        <f t="shared" si="16"/>
        <v>1.2</v>
      </c>
      <c r="L28" s="5">
        <f t="shared" si="16"/>
        <v>0.02</v>
      </c>
      <c r="M28" s="5">
        <f t="shared" si="16"/>
        <v>0.02</v>
      </c>
      <c r="N28" s="5">
        <f t="shared" si="16"/>
        <v>756.9079999999999</v>
      </c>
      <c r="O28" s="5">
        <f>'March 2023'!T28</f>
        <v>50.17</v>
      </c>
      <c r="P28" s="5">
        <f t="shared" si="16"/>
        <v>0</v>
      </c>
      <c r="Q28" s="5">
        <f t="shared" si="16"/>
        <v>0</v>
      </c>
      <c r="R28" s="5">
        <f t="shared" si="16"/>
        <v>0</v>
      </c>
      <c r="S28" s="5">
        <f t="shared" si="16"/>
        <v>0</v>
      </c>
      <c r="T28" s="5">
        <f t="shared" si="16"/>
        <v>50.17</v>
      </c>
      <c r="U28" s="5">
        <f t="shared" si="16"/>
        <v>8133.9630000000052</v>
      </c>
    </row>
    <row r="29" spans="1:23" ht="38.25" customHeight="1">
      <c r="A29" s="35">
        <v>17</v>
      </c>
      <c r="B29" s="38" t="s">
        <v>35</v>
      </c>
      <c r="C29" s="3">
        <f>'March 2023'!H29</f>
        <v>4881.0380000000005</v>
      </c>
      <c r="D29" s="3">
        <f>7.03+121.61</f>
        <v>128.63999999999999</v>
      </c>
      <c r="E29" s="3">
        <f t="shared" si="0"/>
        <v>128.63999999999999</v>
      </c>
      <c r="F29" s="3">
        <v>0</v>
      </c>
      <c r="G29" s="3">
        <f t="shared" si="1"/>
        <v>0</v>
      </c>
      <c r="H29" s="3">
        <f t="shared" si="2"/>
        <v>5009.6780000000008</v>
      </c>
      <c r="I29" s="3">
        <f>'March 2023'!N29</f>
        <v>121.53000000000002</v>
      </c>
      <c r="J29" s="3">
        <v>0.06</v>
      </c>
      <c r="K29" s="3">
        <f>J29</f>
        <v>0.06</v>
      </c>
      <c r="L29" s="3">
        <v>0</v>
      </c>
      <c r="M29" s="3">
        <f t="shared" si="4"/>
        <v>0</v>
      </c>
      <c r="N29" s="3">
        <f t="shared" si="5"/>
        <v>121.59000000000002</v>
      </c>
      <c r="O29" s="3">
        <f>'March 2023'!T29</f>
        <v>34.52000000000001</v>
      </c>
      <c r="P29" s="3">
        <v>0</v>
      </c>
      <c r="Q29" s="3">
        <f t="shared" si="6"/>
        <v>0</v>
      </c>
      <c r="R29" s="3">
        <v>0</v>
      </c>
      <c r="S29" s="3">
        <f t="shared" si="7"/>
        <v>0</v>
      </c>
      <c r="T29" s="3">
        <f t="shared" si="8"/>
        <v>34.52000000000001</v>
      </c>
      <c r="U29" s="3">
        <f t="shared" si="9"/>
        <v>5165.7880000000014</v>
      </c>
      <c r="W29" s="89"/>
    </row>
    <row r="30" spans="1:23" ht="54.75" customHeight="1">
      <c r="A30" s="35">
        <v>18</v>
      </c>
      <c r="B30" s="38" t="s">
        <v>36</v>
      </c>
      <c r="C30" s="3">
        <f>'March 2023'!H30</f>
        <v>3702.1499999999992</v>
      </c>
      <c r="D30" s="3">
        <v>7.18</v>
      </c>
      <c r="E30" s="3">
        <f t="shared" si="0"/>
        <v>7.18</v>
      </c>
      <c r="F30" s="3">
        <v>0</v>
      </c>
      <c r="G30" s="3">
        <f t="shared" si="1"/>
        <v>0</v>
      </c>
      <c r="H30" s="3">
        <f t="shared" si="2"/>
        <v>3709.329999999999</v>
      </c>
      <c r="I30" s="3">
        <f>'March 2023'!N30</f>
        <v>198.58699999999999</v>
      </c>
      <c r="J30" s="3">
        <v>0</v>
      </c>
      <c r="K30" s="3">
        <f t="shared" si="3"/>
        <v>0</v>
      </c>
      <c r="L30" s="3">
        <v>0</v>
      </c>
      <c r="M30" s="3">
        <f t="shared" si="4"/>
        <v>0</v>
      </c>
      <c r="N30" s="3">
        <f t="shared" si="5"/>
        <v>198.58699999999999</v>
      </c>
      <c r="O30" s="3">
        <f>'March 2023'!T30</f>
        <v>23.25</v>
      </c>
      <c r="P30" s="3">
        <v>0</v>
      </c>
      <c r="Q30" s="3">
        <f t="shared" si="6"/>
        <v>0</v>
      </c>
      <c r="R30" s="3">
        <v>0</v>
      </c>
      <c r="S30" s="3">
        <f t="shared" si="7"/>
        <v>0</v>
      </c>
      <c r="T30" s="3">
        <f t="shared" si="8"/>
        <v>23.25</v>
      </c>
      <c r="U30" s="3">
        <f t="shared" si="9"/>
        <v>3931.166999999999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'March 2023'!H31</f>
        <v>4702.4920000000011</v>
      </c>
      <c r="D31" s="3">
        <v>0</v>
      </c>
      <c r="E31" s="3">
        <f t="shared" si="0"/>
        <v>0</v>
      </c>
      <c r="F31" s="3">
        <v>0</v>
      </c>
      <c r="G31" s="3">
        <f t="shared" si="1"/>
        <v>0</v>
      </c>
      <c r="H31" s="3">
        <f t="shared" si="2"/>
        <v>4702.4920000000011</v>
      </c>
      <c r="I31" s="3">
        <f>'March 2023'!N31</f>
        <v>107.69000000000003</v>
      </c>
      <c r="J31" s="3">
        <v>0.20499999999999999</v>
      </c>
      <c r="K31" s="3">
        <f t="shared" si="3"/>
        <v>0.20499999999999999</v>
      </c>
      <c r="L31" s="3">
        <v>0</v>
      </c>
      <c r="M31" s="3">
        <f t="shared" si="4"/>
        <v>0</v>
      </c>
      <c r="N31" s="3">
        <f t="shared" si="5"/>
        <v>107.89500000000002</v>
      </c>
      <c r="O31" s="3">
        <f>'March 2023'!T31</f>
        <v>14.850000000000001</v>
      </c>
      <c r="P31" s="3">
        <v>0</v>
      </c>
      <c r="Q31" s="3">
        <f t="shared" si="6"/>
        <v>0</v>
      </c>
      <c r="R31" s="3">
        <v>0</v>
      </c>
      <c r="S31" s="3">
        <f t="shared" si="7"/>
        <v>0</v>
      </c>
      <c r="T31" s="3">
        <f t="shared" si="8"/>
        <v>14.850000000000001</v>
      </c>
      <c r="U31" s="3">
        <f t="shared" si="9"/>
        <v>4825.2370000000019</v>
      </c>
      <c r="W31" s="89"/>
    </row>
    <row r="32" spans="1:23" ht="70.5" customHeight="1">
      <c r="A32" s="35">
        <v>20</v>
      </c>
      <c r="B32" s="38" t="s">
        <v>38</v>
      </c>
      <c r="C32" s="3">
        <f>'March 2023'!H32</f>
        <v>2374.025799999999</v>
      </c>
      <c r="D32" s="3">
        <v>2.42</v>
      </c>
      <c r="E32" s="3">
        <f t="shared" si="0"/>
        <v>2.42</v>
      </c>
      <c r="F32" s="3">
        <v>9.73</v>
      </c>
      <c r="G32" s="3">
        <f t="shared" si="1"/>
        <v>9.73</v>
      </c>
      <c r="H32" s="3">
        <f t="shared" si="2"/>
        <v>2366.715799999999</v>
      </c>
      <c r="I32" s="3">
        <f>'March 2023'!N32</f>
        <v>93.176000000000016</v>
      </c>
      <c r="J32" s="3">
        <v>1.5580000000000001</v>
      </c>
      <c r="K32" s="3">
        <f t="shared" si="3"/>
        <v>1.5580000000000001</v>
      </c>
      <c r="L32" s="3">
        <v>0</v>
      </c>
      <c r="M32" s="3">
        <f t="shared" si="4"/>
        <v>0</v>
      </c>
      <c r="N32" s="3">
        <f t="shared" si="5"/>
        <v>94.734000000000023</v>
      </c>
      <c r="O32" s="3">
        <f>'March 2023'!T32</f>
        <v>67.551999999999992</v>
      </c>
      <c r="P32" s="3">
        <v>0</v>
      </c>
      <c r="Q32" s="3">
        <f t="shared" si="6"/>
        <v>0</v>
      </c>
      <c r="R32" s="3">
        <v>0</v>
      </c>
      <c r="S32" s="3">
        <f t="shared" si="7"/>
        <v>0</v>
      </c>
      <c r="T32" s="3">
        <f t="shared" si="8"/>
        <v>67.551999999999992</v>
      </c>
      <c r="U32" s="3">
        <f t="shared" si="9"/>
        <v>2529.0017999999991</v>
      </c>
      <c r="W32" s="89"/>
    </row>
    <row r="33" spans="1:23" s="4" customFormat="1" ht="38.25" customHeight="1">
      <c r="A33" s="34"/>
      <c r="B33" s="37" t="s">
        <v>39</v>
      </c>
      <c r="C33" s="5">
        <f>'March 2023'!H33</f>
        <v>15659.7058</v>
      </c>
      <c r="D33" s="5">
        <f t="shared" ref="D33:U33" si="17">SUM(D29:D32)</f>
        <v>138.23999999999998</v>
      </c>
      <c r="E33" s="5">
        <f t="shared" si="17"/>
        <v>138.23999999999998</v>
      </c>
      <c r="F33" s="5">
        <f t="shared" si="17"/>
        <v>9.73</v>
      </c>
      <c r="G33" s="5">
        <f t="shared" si="17"/>
        <v>9.73</v>
      </c>
      <c r="H33" s="5">
        <f t="shared" si="17"/>
        <v>15788.215799999998</v>
      </c>
      <c r="I33" s="5">
        <f>'March 2023'!N33</f>
        <v>520.98299999999995</v>
      </c>
      <c r="J33" s="5">
        <f t="shared" si="17"/>
        <v>1.823</v>
      </c>
      <c r="K33" s="5">
        <f t="shared" si="17"/>
        <v>1.823</v>
      </c>
      <c r="L33" s="5">
        <f t="shared" si="17"/>
        <v>0</v>
      </c>
      <c r="M33" s="5">
        <f t="shared" si="17"/>
        <v>0</v>
      </c>
      <c r="N33" s="5">
        <f t="shared" si="17"/>
        <v>522.80600000000004</v>
      </c>
      <c r="O33" s="5">
        <f>'March 2023'!T33</f>
        <v>140.172</v>
      </c>
      <c r="P33" s="5">
        <f t="shared" si="17"/>
        <v>0</v>
      </c>
      <c r="Q33" s="5">
        <f t="shared" si="17"/>
        <v>0</v>
      </c>
      <c r="R33" s="5">
        <f t="shared" si="17"/>
        <v>0</v>
      </c>
      <c r="S33" s="5">
        <f t="shared" si="17"/>
        <v>0</v>
      </c>
      <c r="T33" s="5">
        <f t="shared" si="17"/>
        <v>140.172</v>
      </c>
      <c r="U33" s="5">
        <f t="shared" si="17"/>
        <v>16451.193800000001</v>
      </c>
    </row>
    <row r="34" spans="1:23" ht="38.25" customHeight="1">
      <c r="A34" s="35">
        <v>21</v>
      </c>
      <c r="B34" s="38" t="s">
        <v>40</v>
      </c>
      <c r="C34" s="3">
        <f>'March 2023'!H34</f>
        <v>4586.75</v>
      </c>
      <c r="D34" s="3">
        <f>9.98+159.25</f>
        <v>169.23</v>
      </c>
      <c r="E34" s="3">
        <f t="shared" si="0"/>
        <v>169.23</v>
      </c>
      <c r="F34" s="3">
        <v>0</v>
      </c>
      <c r="G34" s="3">
        <f t="shared" si="1"/>
        <v>0</v>
      </c>
      <c r="H34" s="3">
        <f t="shared" si="2"/>
        <v>4755.9799999999996</v>
      </c>
      <c r="I34" s="3">
        <f>'March 2023'!N34</f>
        <v>108.07999999999998</v>
      </c>
      <c r="J34" s="3">
        <v>0.09</v>
      </c>
      <c r="K34" s="3">
        <f t="shared" si="3"/>
        <v>0.09</v>
      </c>
      <c r="L34" s="3">
        <v>0</v>
      </c>
      <c r="M34" s="3">
        <f t="shared" si="4"/>
        <v>0</v>
      </c>
      <c r="N34" s="3">
        <f t="shared" si="5"/>
        <v>108.16999999999999</v>
      </c>
      <c r="O34" s="3">
        <f>'March 2023'!T34</f>
        <v>72.7</v>
      </c>
      <c r="P34" s="3">
        <v>0</v>
      </c>
      <c r="Q34" s="3">
        <f t="shared" si="6"/>
        <v>0</v>
      </c>
      <c r="R34" s="3">
        <v>0</v>
      </c>
      <c r="S34" s="3">
        <f t="shared" si="7"/>
        <v>0</v>
      </c>
      <c r="T34" s="3">
        <f t="shared" si="8"/>
        <v>72.7</v>
      </c>
      <c r="U34" s="3">
        <f t="shared" si="9"/>
        <v>4936.8499999999995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'March 2023'!H35</f>
        <v>6683.6199999999981</v>
      </c>
      <c r="D35" s="3">
        <f>21.5+9</f>
        <v>30.5</v>
      </c>
      <c r="E35" s="3">
        <f t="shared" si="0"/>
        <v>30.5</v>
      </c>
      <c r="F35" s="3">
        <v>0</v>
      </c>
      <c r="G35" s="3">
        <f t="shared" si="1"/>
        <v>0</v>
      </c>
      <c r="H35" s="3">
        <f t="shared" si="2"/>
        <v>6714.1199999999981</v>
      </c>
      <c r="I35" s="3">
        <f>'March 2023'!N35</f>
        <v>34.130000000000003</v>
      </c>
      <c r="J35" s="3">
        <v>0.04</v>
      </c>
      <c r="K35" s="3">
        <f t="shared" si="3"/>
        <v>0.04</v>
      </c>
      <c r="L35" s="3">
        <v>0</v>
      </c>
      <c r="M35" s="3">
        <f t="shared" si="4"/>
        <v>0</v>
      </c>
      <c r="N35" s="3">
        <f t="shared" si="5"/>
        <v>34.17</v>
      </c>
      <c r="O35" s="3">
        <f>'March 2023'!T35</f>
        <v>90.800000000000011</v>
      </c>
      <c r="P35" s="3">
        <v>0</v>
      </c>
      <c r="Q35" s="3">
        <f t="shared" si="6"/>
        <v>0</v>
      </c>
      <c r="R35" s="3">
        <v>0</v>
      </c>
      <c r="S35" s="3">
        <f t="shared" si="7"/>
        <v>0</v>
      </c>
      <c r="T35" s="3">
        <f t="shared" si="8"/>
        <v>90.800000000000011</v>
      </c>
      <c r="U35" s="3">
        <f t="shared" si="9"/>
        <v>6839.0899999999983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'March 2023'!H36</f>
        <v>3697.66</v>
      </c>
      <c r="D36" s="3">
        <f>2.53+489.65</f>
        <v>492.17999999999995</v>
      </c>
      <c r="E36" s="3">
        <f t="shared" si="0"/>
        <v>492.17999999999995</v>
      </c>
      <c r="F36" s="3">
        <v>0</v>
      </c>
      <c r="G36" s="3">
        <f t="shared" si="1"/>
        <v>0</v>
      </c>
      <c r="H36" s="3">
        <f t="shared" si="2"/>
        <v>4189.84</v>
      </c>
      <c r="I36" s="3">
        <f>'March 2023'!N36</f>
        <v>30.250000000000039</v>
      </c>
      <c r="J36" s="3">
        <v>0</v>
      </c>
      <c r="K36" s="3">
        <f t="shared" si="3"/>
        <v>0</v>
      </c>
      <c r="L36" s="3">
        <v>0</v>
      </c>
      <c r="M36" s="3">
        <f t="shared" si="4"/>
        <v>0</v>
      </c>
      <c r="N36" s="3">
        <f t="shared" si="5"/>
        <v>30.250000000000039</v>
      </c>
      <c r="O36" s="3">
        <f>'March 2023'!T36</f>
        <v>36.379999999999995</v>
      </c>
      <c r="P36" s="3">
        <v>0</v>
      </c>
      <c r="Q36" s="3">
        <f t="shared" si="6"/>
        <v>0</v>
      </c>
      <c r="R36" s="3">
        <v>0</v>
      </c>
      <c r="S36" s="3">
        <f t="shared" si="7"/>
        <v>0</v>
      </c>
      <c r="T36" s="3">
        <f t="shared" si="8"/>
        <v>36.379999999999995</v>
      </c>
      <c r="U36" s="3">
        <f t="shared" si="9"/>
        <v>4256.47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'March 2023'!H37</f>
        <v>5094.5099999999984</v>
      </c>
      <c r="D37" s="3">
        <v>5.54</v>
      </c>
      <c r="E37" s="3">
        <f t="shared" si="0"/>
        <v>5.54</v>
      </c>
      <c r="F37" s="3">
        <v>0</v>
      </c>
      <c r="G37" s="3">
        <f t="shared" si="1"/>
        <v>0</v>
      </c>
      <c r="H37" s="3">
        <f t="shared" si="2"/>
        <v>5100.0499999999984</v>
      </c>
      <c r="I37" s="3">
        <f>'March 2023'!N37</f>
        <v>26.700000000000003</v>
      </c>
      <c r="J37" s="3">
        <v>0</v>
      </c>
      <c r="K37" s="3">
        <f t="shared" si="3"/>
        <v>0</v>
      </c>
      <c r="L37" s="3">
        <v>0</v>
      </c>
      <c r="M37" s="3">
        <f t="shared" si="4"/>
        <v>0</v>
      </c>
      <c r="N37" s="3">
        <f t="shared" si="5"/>
        <v>26.700000000000003</v>
      </c>
      <c r="O37" s="3">
        <f>'March 2023'!T37</f>
        <v>3.0599999999999996</v>
      </c>
      <c r="P37" s="3">
        <v>0</v>
      </c>
      <c r="Q37" s="3">
        <f t="shared" si="6"/>
        <v>0</v>
      </c>
      <c r="R37" s="3">
        <v>0</v>
      </c>
      <c r="S37" s="3">
        <f t="shared" si="7"/>
        <v>0</v>
      </c>
      <c r="T37" s="3">
        <f t="shared" si="8"/>
        <v>3.0599999999999996</v>
      </c>
      <c r="U37" s="3">
        <f t="shared" si="9"/>
        <v>5129.8099999999986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'March 2023'!H38</f>
        <v>20062.539999999997</v>
      </c>
      <c r="D38" s="5">
        <f t="shared" ref="D38:U38" si="18">SUM(D34:D37)</f>
        <v>697.44999999999993</v>
      </c>
      <c r="E38" s="5">
        <f t="shared" si="18"/>
        <v>697.44999999999993</v>
      </c>
      <c r="F38" s="5">
        <f t="shared" si="18"/>
        <v>0</v>
      </c>
      <c r="G38" s="5">
        <f t="shared" si="18"/>
        <v>0</v>
      </c>
      <c r="H38" s="5">
        <f t="shared" si="18"/>
        <v>20759.989999999998</v>
      </c>
      <c r="I38" s="5">
        <f>'March 2023'!N38</f>
        <v>199.16000000000003</v>
      </c>
      <c r="J38" s="5">
        <f t="shared" si="18"/>
        <v>0.13</v>
      </c>
      <c r="K38" s="5">
        <f t="shared" si="18"/>
        <v>0.13</v>
      </c>
      <c r="L38" s="5">
        <f t="shared" si="18"/>
        <v>0</v>
      </c>
      <c r="M38" s="5">
        <f t="shared" si="18"/>
        <v>0</v>
      </c>
      <c r="N38" s="5">
        <f t="shared" si="18"/>
        <v>199.29000000000002</v>
      </c>
      <c r="O38" s="5">
        <f>'March 2023'!T38</f>
        <v>202.94</v>
      </c>
      <c r="P38" s="5">
        <f t="shared" si="18"/>
        <v>0</v>
      </c>
      <c r="Q38" s="5">
        <f t="shared" si="18"/>
        <v>0</v>
      </c>
      <c r="R38" s="5">
        <f t="shared" si="18"/>
        <v>0</v>
      </c>
      <c r="S38" s="5">
        <f t="shared" si="18"/>
        <v>0</v>
      </c>
      <c r="T38" s="5">
        <f t="shared" si="18"/>
        <v>202.94</v>
      </c>
      <c r="U38" s="5">
        <f t="shared" si="18"/>
        <v>21162.219999999998</v>
      </c>
    </row>
    <row r="39" spans="1:23" s="4" customFormat="1" ht="38.25" customHeight="1">
      <c r="A39" s="34"/>
      <c r="B39" s="37" t="s">
        <v>45</v>
      </c>
      <c r="C39" s="5">
        <f>'March 2023'!H39</f>
        <v>43035.910800000005</v>
      </c>
      <c r="D39" s="5">
        <f t="shared" ref="D39:U39" si="19">D38+D33+D28</f>
        <v>848.93</v>
      </c>
      <c r="E39" s="5">
        <f t="shared" si="19"/>
        <v>848.93</v>
      </c>
      <c r="F39" s="5">
        <f t="shared" si="19"/>
        <v>9.75</v>
      </c>
      <c r="G39" s="5">
        <f t="shared" si="19"/>
        <v>9.75</v>
      </c>
      <c r="H39" s="5">
        <f t="shared" si="19"/>
        <v>43875.090799999998</v>
      </c>
      <c r="I39" s="5">
        <f>'March 2023'!N39</f>
        <v>1475.8710000000001</v>
      </c>
      <c r="J39" s="5">
        <f t="shared" si="19"/>
        <v>3.1529999999999996</v>
      </c>
      <c r="K39" s="5">
        <f t="shared" si="19"/>
        <v>3.1529999999999996</v>
      </c>
      <c r="L39" s="5">
        <f t="shared" si="19"/>
        <v>0.02</v>
      </c>
      <c r="M39" s="5">
        <f t="shared" si="19"/>
        <v>0.02</v>
      </c>
      <c r="N39" s="5">
        <f t="shared" si="19"/>
        <v>1479.0039999999999</v>
      </c>
      <c r="O39" s="5">
        <f>'March 2023'!T39</f>
        <v>393.28199999999998</v>
      </c>
      <c r="P39" s="5">
        <f t="shared" si="19"/>
        <v>0</v>
      </c>
      <c r="Q39" s="5">
        <f t="shared" si="19"/>
        <v>0</v>
      </c>
      <c r="R39" s="5">
        <f t="shared" si="19"/>
        <v>0</v>
      </c>
      <c r="S39" s="5">
        <f t="shared" si="19"/>
        <v>0</v>
      </c>
      <c r="T39" s="5">
        <f t="shared" si="19"/>
        <v>393.28199999999998</v>
      </c>
      <c r="U39" s="5">
        <f t="shared" si="19"/>
        <v>45747.376799999998</v>
      </c>
    </row>
    <row r="40" spans="1:23" ht="38.25" customHeight="1">
      <c r="A40" s="35">
        <v>25</v>
      </c>
      <c r="B40" s="38" t="s">
        <v>46</v>
      </c>
      <c r="C40" s="3">
        <f>'March 2023'!H40</f>
        <v>11857.623999999998</v>
      </c>
      <c r="D40" s="3">
        <f>9+232.46</f>
        <v>241.46</v>
      </c>
      <c r="E40" s="3">
        <f t="shared" si="0"/>
        <v>241.46</v>
      </c>
      <c r="F40" s="3">
        <v>0</v>
      </c>
      <c r="G40" s="3">
        <f t="shared" si="1"/>
        <v>0</v>
      </c>
      <c r="H40" s="3">
        <f t="shared" si="2"/>
        <v>12099.083999999997</v>
      </c>
      <c r="I40" s="3">
        <f>'March 2023'!N40</f>
        <v>198.73</v>
      </c>
      <c r="J40" s="3">
        <v>0</v>
      </c>
      <c r="K40" s="3">
        <f t="shared" si="3"/>
        <v>0</v>
      </c>
      <c r="L40" s="3">
        <v>0</v>
      </c>
      <c r="M40" s="3">
        <f t="shared" si="4"/>
        <v>0</v>
      </c>
      <c r="N40" s="3">
        <f t="shared" si="5"/>
        <v>198.73</v>
      </c>
      <c r="O40" s="3">
        <f>'March 2023'!T40</f>
        <v>106.93</v>
      </c>
      <c r="P40" s="3">
        <v>0</v>
      </c>
      <c r="Q40" s="3">
        <f t="shared" si="6"/>
        <v>0</v>
      </c>
      <c r="R40" s="3">
        <v>0</v>
      </c>
      <c r="S40" s="3">
        <f t="shared" si="7"/>
        <v>0</v>
      </c>
      <c r="T40" s="3">
        <f t="shared" si="8"/>
        <v>106.93</v>
      </c>
      <c r="U40" s="3">
        <f t="shared" si="9"/>
        <v>12404.743999999997</v>
      </c>
    </row>
    <row r="41" spans="1:23" ht="38.25" customHeight="1">
      <c r="A41" s="35">
        <v>26</v>
      </c>
      <c r="B41" s="38" t="s">
        <v>47</v>
      </c>
      <c r="C41" s="3">
        <f>'March 2023'!H41</f>
        <v>8447.398999999994</v>
      </c>
      <c r="D41" s="3">
        <f>0.04+43.81</f>
        <v>43.85</v>
      </c>
      <c r="E41" s="3">
        <f t="shared" si="0"/>
        <v>43.85</v>
      </c>
      <c r="F41" s="3">
        <v>0</v>
      </c>
      <c r="G41" s="3">
        <f t="shared" si="1"/>
        <v>0</v>
      </c>
      <c r="H41" s="3">
        <f t="shared" si="2"/>
        <v>8491.2489999999943</v>
      </c>
      <c r="I41" s="3">
        <f>'March 2023'!N41</f>
        <v>8.67</v>
      </c>
      <c r="J41" s="3">
        <v>0</v>
      </c>
      <c r="K41" s="3">
        <f t="shared" si="3"/>
        <v>0</v>
      </c>
      <c r="L41" s="3">
        <v>0</v>
      </c>
      <c r="M41" s="3">
        <f t="shared" si="4"/>
        <v>0</v>
      </c>
      <c r="N41" s="3">
        <f t="shared" si="5"/>
        <v>8.67</v>
      </c>
      <c r="O41" s="3">
        <f>'March 2023'!T41</f>
        <v>141.29000000000002</v>
      </c>
      <c r="P41" s="3">
        <v>0</v>
      </c>
      <c r="Q41" s="3">
        <f t="shared" si="6"/>
        <v>0</v>
      </c>
      <c r="R41" s="3">
        <v>0</v>
      </c>
      <c r="S41" s="3">
        <f t="shared" si="7"/>
        <v>0</v>
      </c>
      <c r="T41" s="3">
        <f t="shared" si="8"/>
        <v>141.29000000000002</v>
      </c>
      <c r="U41" s="3">
        <f t="shared" si="9"/>
        <v>8641.2089999999953</v>
      </c>
    </row>
    <row r="42" spans="1:23" s="4" customFormat="1" ht="38.25" customHeight="1">
      <c r="A42" s="35">
        <v>27</v>
      </c>
      <c r="B42" s="38" t="s">
        <v>48</v>
      </c>
      <c r="C42" s="3">
        <f>'March 2023'!H42</f>
        <v>13953.672999999995</v>
      </c>
      <c r="D42" s="3">
        <f>9.03+266.11</f>
        <v>275.14</v>
      </c>
      <c r="E42" s="3">
        <f t="shared" si="0"/>
        <v>275.14</v>
      </c>
      <c r="F42" s="3">
        <v>0</v>
      </c>
      <c r="G42" s="3">
        <f t="shared" si="1"/>
        <v>0</v>
      </c>
      <c r="H42" s="3">
        <f t="shared" si="2"/>
        <v>14228.812999999995</v>
      </c>
      <c r="I42" s="3">
        <f>'March 2023'!N42</f>
        <v>15.62</v>
      </c>
      <c r="J42" s="3">
        <v>0</v>
      </c>
      <c r="K42" s="3">
        <f t="shared" si="3"/>
        <v>0</v>
      </c>
      <c r="L42" s="3">
        <v>0</v>
      </c>
      <c r="M42" s="3">
        <f t="shared" si="4"/>
        <v>0</v>
      </c>
      <c r="N42" s="3">
        <f t="shared" si="5"/>
        <v>15.62</v>
      </c>
      <c r="O42" s="3">
        <f>'March 2023'!T42</f>
        <v>205.35</v>
      </c>
      <c r="P42" s="3">
        <v>0</v>
      </c>
      <c r="Q42" s="3">
        <f t="shared" si="6"/>
        <v>0</v>
      </c>
      <c r="R42" s="3">
        <v>0</v>
      </c>
      <c r="S42" s="3">
        <f t="shared" si="7"/>
        <v>0</v>
      </c>
      <c r="T42" s="3">
        <f t="shared" si="8"/>
        <v>205.35</v>
      </c>
      <c r="U42" s="3">
        <f t="shared" si="9"/>
        <v>14449.782999999996</v>
      </c>
    </row>
    <row r="43" spans="1:23" ht="38.25" customHeight="1">
      <c r="A43" s="35">
        <v>28</v>
      </c>
      <c r="B43" s="38" t="s">
        <v>49</v>
      </c>
      <c r="C43" s="3">
        <f>'March 2023'!H43</f>
        <v>4201.9600000000009</v>
      </c>
      <c r="D43" s="3">
        <f>13.98+39.35</f>
        <v>53.33</v>
      </c>
      <c r="E43" s="3">
        <f t="shared" si="0"/>
        <v>53.33</v>
      </c>
      <c r="F43" s="3">
        <v>0</v>
      </c>
      <c r="G43" s="3">
        <f t="shared" si="1"/>
        <v>0</v>
      </c>
      <c r="H43" s="3">
        <f t="shared" si="2"/>
        <v>4255.2900000000009</v>
      </c>
      <c r="I43" s="3">
        <f>'March 2023'!N43</f>
        <v>3.5</v>
      </c>
      <c r="J43" s="3">
        <v>0</v>
      </c>
      <c r="K43" s="3">
        <f t="shared" si="3"/>
        <v>0</v>
      </c>
      <c r="L43" s="3">
        <v>0</v>
      </c>
      <c r="M43" s="3">
        <f t="shared" si="4"/>
        <v>0</v>
      </c>
      <c r="N43" s="3">
        <f t="shared" si="5"/>
        <v>3.5</v>
      </c>
      <c r="O43" s="3">
        <f>'March 2023'!T43</f>
        <v>29.8</v>
      </c>
      <c r="P43" s="3">
        <v>0</v>
      </c>
      <c r="Q43" s="3">
        <f t="shared" si="6"/>
        <v>0</v>
      </c>
      <c r="R43" s="3">
        <v>0</v>
      </c>
      <c r="S43" s="3">
        <f t="shared" si="7"/>
        <v>0</v>
      </c>
      <c r="T43" s="3">
        <f t="shared" si="8"/>
        <v>29.8</v>
      </c>
      <c r="U43" s="3">
        <f t="shared" si="9"/>
        <v>4288.5900000000011</v>
      </c>
    </row>
    <row r="44" spans="1:23" s="4" customFormat="1" ht="38.25" customHeight="1">
      <c r="A44" s="34"/>
      <c r="B44" s="37" t="s">
        <v>50</v>
      </c>
      <c r="C44" s="5">
        <f>'March 2023'!H44</f>
        <v>38460.655999999988</v>
      </c>
      <c r="D44" s="5">
        <f t="shared" ref="D44:U44" si="20">SUM(D40:D43)</f>
        <v>613.78000000000009</v>
      </c>
      <c r="E44" s="5">
        <f t="shared" si="20"/>
        <v>613.78000000000009</v>
      </c>
      <c r="F44" s="5">
        <f t="shared" si="20"/>
        <v>0</v>
      </c>
      <c r="G44" s="5">
        <f t="shared" si="20"/>
        <v>0</v>
      </c>
      <c r="H44" s="5">
        <f t="shared" si="20"/>
        <v>39074.435999999987</v>
      </c>
      <c r="I44" s="5">
        <f>'March 2023'!N44</f>
        <v>226.51999999999998</v>
      </c>
      <c r="J44" s="5">
        <f t="shared" si="20"/>
        <v>0</v>
      </c>
      <c r="K44" s="5">
        <f t="shared" si="20"/>
        <v>0</v>
      </c>
      <c r="L44" s="5">
        <f t="shared" si="20"/>
        <v>0</v>
      </c>
      <c r="M44" s="5">
        <f t="shared" si="20"/>
        <v>0</v>
      </c>
      <c r="N44" s="5">
        <f t="shared" si="20"/>
        <v>226.51999999999998</v>
      </c>
      <c r="O44" s="5">
        <f>'March 2023'!T44</f>
        <v>483.37000000000006</v>
      </c>
      <c r="P44" s="5">
        <f t="shared" si="20"/>
        <v>0</v>
      </c>
      <c r="Q44" s="5">
        <f t="shared" si="20"/>
        <v>0</v>
      </c>
      <c r="R44" s="5">
        <f t="shared" si="20"/>
        <v>0</v>
      </c>
      <c r="S44" s="5">
        <f t="shared" si="20"/>
        <v>0</v>
      </c>
      <c r="T44" s="5">
        <f t="shared" si="20"/>
        <v>483.37000000000006</v>
      </c>
      <c r="U44" s="5">
        <f t="shared" si="20"/>
        <v>39784.325999999994</v>
      </c>
    </row>
    <row r="45" spans="1:23" ht="38.25" customHeight="1">
      <c r="A45" s="35">
        <v>29</v>
      </c>
      <c r="B45" s="38" t="s">
        <v>51</v>
      </c>
      <c r="C45" s="3">
        <f>'March 2023'!H45</f>
        <v>8363.8120999999992</v>
      </c>
      <c r="D45" s="3">
        <f>32.04+0.01</f>
        <v>32.049999999999997</v>
      </c>
      <c r="E45" s="3">
        <f t="shared" si="0"/>
        <v>32.049999999999997</v>
      </c>
      <c r="F45" s="3">
        <v>0</v>
      </c>
      <c r="G45" s="3">
        <f t="shared" si="1"/>
        <v>0</v>
      </c>
      <c r="H45" s="3">
        <f t="shared" si="2"/>
        <v>8395.8620999999985</v>
      </c>
      <c r="I45" s="3">
        <f>'March 2023'!N45</f>
        <v>261.04999999999995</v>
      </c>
      <c r="J45" s="3">
        <v>0</v>
      </c>
      <c r="K45" s="3">
        <f t="shared" si="3"/>
        <v>0</v>
      </c>
      <c r="L45" s="3">
        <v>0</v>
      </c>
      <c r="M45" s="3">
        <f t="shared" si="4"/>
        <v>0</v>
      </c>
      <c r="N45" s="3">
        <f t="shared" si="5"/>
        <v>261.04999999999995</v>
      </c>
      <c r="O45" s="3">
        <f>'March 2023'!T45</f>
        <v>84.39</v>
      </c>
      <c r="P45" s="3">
        <v>0.06</v>
      </c>
      <c r="Q45" s="3">
        <f t="shared" si="6"/>
        <v>0.06</v>
      </c>
      <c r="R45" s="3">
        <v>0</v>
      </c>
      <c r="S45" s="3">
        <f t="shared" si="7"/>
        <v>0</v>
      </c>
      <c r="T45" s="3">
        <f t="shared" si="8"/>
        <v>84.45</v>
      </c>
      <c r="U45" s="3">
        <f t="shared" si="9"/>
        <v>8741.3620999999985</v>
      </c>
    </row>
    <row r="46" spans="1:23" ht="38.25" customHeight="1">
      <c r="A46" s="35">
        <v>30</v>
      </c>
      <c r="B46" s="38" t="s">
        <v>52</v>
      </c>
      <c r="C46" s="3">
        <f>'March 2023'!H46</f>
        <v>7947.2350000000015</v>
      </c>
      <c r="D46" s="3">
        <f>51.7-0.04</f>
        <v>51.660000000000004</v>
      </c>
      <c r="E46" s="3">
        <f t="shared" si="0"/>
        <v>51.660000000000004</v>
      </c>
      <c r="F46" s="3">
        <v>0</v>
      </c>
      <c r="G46" s="3">
        <f t="shared" si="1"/>
        <v>0</v>
      </c>
      <c r="H46" s="3">
        <f t="shared" si="2"/>
        <v>7998.8950000000013</v>
      </c>
      <c r="I46" s="3">
        <f>'March 2023'!N46</f>
        <v>0</v>
      </c>
      <c r="J46" s="3">
        <v>0</v>
      </c>
      <c r="K46" s="3">
        <f t="shared" si="3"/>
        <v>0</v>
      </c>
      <c r="L46" s="3">
        <v>0</v>
      </c>
      <c r="M46" s="3">
        <f t="shared" si="4"/>
        <v>0</v>
      </c>
      <c r="N46" s="3">
        <f t="shared" si="5"/>
        <v>0</v>
      </c>
      <c r="O46" s="3">
        <f>'March 2023'!T46</f>
        <v>47.03</v>
      </c>
      <c r="P46" s="3">
        <v>0</v>
      </c>
      <c r="Q46" s="3">
        <f t="shared" si="6"/>
        <v>0</v>
      </c>
      <c r="R46" s="3">
        <v>0</v>
      </c>
      <c r="S46" s="3">
        <f t="shared" si="7"/>
        <v>0</v>
      </c>
      <c r="T46" s="3">
        <f t="shared" si="8"/>
        <v>47.03</v>
      </c>
      <c r="U46" s="3">
        <f t="shared" si="9"/>
        <v>8045.9250000000011</v>
      </c>
    </row>
    <row r="47" spans="1:23" s="4" customFormat="1" ht="38.25" customHeight="1">
      <c r="A47" s="35">
        <v>31</v>
      </c>
      <c r="B47" s="38" t="s">
        <v>53</v>
      </c>
      <c r="C47" s="3">
        <f>'March 2023'!H47</f>
        <v>9077.6999999999971</v>
      </c>
      <c r="D47" s="3">
        <v>246.56</v>
      </c>
      <c r="E47" s="3">
        <f t="shared" si="0"/>
        <v>246.56</v>
      </c>
      <c r="F47" s="3">
        <v>0</v>
      </c>
      <c r="G47" s="3">
        <f t="shared" si="1"/>
        <v>0</v>
      </c>
      <c r="H47" s="3">
        <f t="shared" si="2"/>
        <v>9324.2599999999966</v>
      </c>
      <c r="I47" s="3">
        <f>'March 2023'!N47</f>
        <v>3.13</v>
      </c>
      <c r="J47" s="3">
        <v>0</v>
      </c>
      <c r="K47" s="3">
        <f t="shared" si="3"/>
        <v>0</v>
      </c>
      <c r="L47" s="3">
        <v>0</v>
      </c>
      <c r="M47" s="3">
        <f t="shared" si="4"/>
        <v>0</v>
      </c>
      <c r="N47" s="3">
        <f t="shared" si="5"/>
        <v>3.13</v>
      </c>
      <c r="O47" s="3">
        <f>'March 2023'!T47</f>
        <v>118.94999999999999</v>
      </c>
      <c r="P47" s="3">
        <v>0</v>
      </c>
      <c r="Q47" s="3">
        <f t="shared" si="6"/>
        <v>0</v>
      </c>
      <c r="R47" s="3">
        <v>0</v>
      </c>
      <c r="S47" s="3">
        <f t="shared" si="7"/>
        <v>0</v>
      </c>
      <c r="T47" s="3">
        <f t="shared" si="8"/>
        <v>118.94999999999999</v>
      </c>
      <c r="U47" s="3">
        <f t="shared" si="9"/>
        <v>9446.3399999999965</v>
      </c>
    </row>
    <row r="48" spans="1:23" s="4" customFormat="1" ht="38.25" customHeight="1">
      <c r="A48" s="35">
        <v>32</v>
      </c>
      <c r="B48" s="38" t="s">
        <v>54</v>
      </c>
      <c r="C48" s="3">
        <f>'March 2023'!H48</f>
        <v>8605.9489999999969</v>
      </c>
      <c r="D48" s="3">
        <v>32.18</v>
      </c>
      <c r="E48" s="3">
        <f t="shared" si="0"/>
        <v>32.18</v>
      </c>
      <c r="F48" s="3">
        <v>0</v>
      </c>
      <c r="G48" s="3">
        <f t="shared" si="1"/>
        <v>0</v>
      </c>
      <c r="H48" s="3">
        <f t="shared" si="2"/>
        <v>8638.1289999999972</v>
      </c>
      <c r="I48" s="3">
        <f>'March 2023'!N48</f>
        <v>5.0249999999999995</v>
      </c>
      <c r="J48" s="3">
        <v>0</v>
      </c>
      <c r="K48" s="3">
        <f t="shared" si="3"/>
        <v>0</v>
      </c>
      <c r="L48" s="3">
        <v>0</v>
      </c>
      <c r="M48" s="3">
        <f t="shared" si="4"/>
        <v>0</v>
      </c>
      <c r="N48" s="3">
        <f t="shared" si="5"/>
        <v>5.0249999999999995</v>
      </c>
      <c r="O48" s="3">
        <f>'March 2023'!T48</f>
        <v>4.21</v>
      </c>
      <c r="P48" s="3">
        <v>0</v>
      </c>
      <c r="Q48" s="3">
        <f t="shared" si="6"/>
        <v>0</v>
      </c>
      <c r="R48" s="3">
        <v>0</v>
      </c>
      <c r="S48" s="3">
        <f t="shared" si="7"/>
        <v>0</v>
      </c>
      <c r="T48" s="3">
        <f t="shared" si="8"/>
        <v>4.21</v>
      </c>
      <c r="U48" s="3">
        <f t="shared" si="9"/>
        <v>8647.3639999999959</v>
      </c>
    </row>
    <row r="49" spans="1:24" s="4" customFormat="1" ht="38.25" customHeight="1">
      <c r="A49" s="34"/>
      <c r="B49" s="37" t="s">
        <v>55</v>
      </c>
      <c r="C49" s="5">
        <f>'March 2023'!H49</f>
        <v>33994.696099999994</v>
      </c>
      <c r="D49" s="5">
        <f t="shared" ref="D49:U49" si="21">SUM(D45:D48)</f>
        <v>362.45</v>
      </c>
      <c r="E49" s="5">
        <f t="shared" si="21"/>
        <v>362.45</v>
      </c>
      <c r="F49" s="5">
        <f t="shared" si="21"/>
        <v>0</v>
      </c>
      <c r="G49" s="5">
        <f t="shared" si="21"/>
        <v>0</v>
      </c>
      <c r="H49" s="5">
        <f t="shared" si="21"/>
        <v>34357.146099999998</v>
      </c>
      <c r="I49" s="5">
        <f>'March 2023'!N49</f>
        <v>269.20499999999993</v>
      </c>
      <c r="J49" s="5">
        <f t="shared" si="21"/>
        <v>0</v>
      </c>
      <c r="K49" s="5">
        <f t="shared" si="21"/>
        <v>0</v>
      </c>
      <c r="L49" s="5">
        <f t="shared" si="21"/>
        <v>0</v>
      </c>
      <c r="M49" s="5">
        <f t="shared" si="21"/>
        <v>0</v>
      </c>
      <c r="N49" s="5">
        <f t="shared" si="21"/>
        <v>269.20499999999993</v>
      </c>
      <c r="O49" s="5">
        <f>'March 2023'!T49</f>
        <v>254.58</v>
      </c>
      <c r="P49" s="5">
        <f t="shared" si="21"/>
        <v>0.06</v>
      </c>
      <c r="Q49" s="5">
        <f t="shared" si="21"/>
        <v>0.06</v>
      </c>
      <c r="R49" s="5">
        <f t="shared" si="21"/>
        <v>0</v>
      </c>
      <c r="S49" s="5">
        <f t="shared" si="21"/>
        <v>0</v>
      </c>
      <c r="T49" s="5">
        <f t="shared" si="21"/>
        <v>254.64000000000001</v>
      </c>
      <c r="U49" s="5">
        <f t="shared" si="21"/>
        <v>34880.991099999992</v>
      </c>
    </row>
    <row r="50" spans="1:24" s="4" customFormat="1" ht="38.25" customHeight="1">
      <c r="A50" s="34"/>
      <c r="B50" s="37" t="s">
        <v>56</v>
      </c>
      <c r="C50" s="5">
        <f>'March 2023'!H50</f>
        <v>72455.352099999989</v>
      </c>
      <c r="D50" s="5">
        <f t="shared" ref="D50:U50" si="22">D49+D44</f>
        <v>976.23</v>
      </c>
      <c r="E50" s="5">
        <f t="shared" si="22"/>
        <v>976.23</v>
      </c>
      <c r="F50" s="5">
        <f t="shared" si="22"/>
        <v>0</v>
      </c>
      <c r="G50" s="5">
        <f t="shared" si="22"/>
        <v>0</v>
      </c>
      <c r="H50" s="5">
        <f t="shared" si="22"/>
        <v>73431.582099999985</v>
      </c>
      <c r="I50" s="5">
        <f>'March 2023'!N50</f>
        <v>495.72499999999991</v>
      </c>
      <c r="J50" s="5">
        <f t="shared" si="22"/>
        <v>0</v>
      </c>
      <c r="K50" s="5">
        <f t="shared" si="22"/>
        <v>0</v>
      </c>
      <c r="L50" s="5">
        <f t="shared" si="22"/>
        <v>0</v>
      </c>
      <c r="M50" s="5">
        <f t="shared" si="22"/>
        <v>0</v>
      </c>
      <c r="N50" s="5">
        <f t="shared" si="22"/>
        <v>495.72499999999991</v>
      </c>
      <c r="O50" s="5">
        <f>'March 2023'!T50</f>
        <v>737.95</v>
      </c>
      <c r="P50" s="5">
        <f t="shared" si="22"/>
        <v>0.06</v>
      </c>
      <c r="Q50" s="5">
        <f t="shared" si="22"/>
        <v>0.06</v>
      </c>
      <c r="R50" s="5">
        <f t="shared" si="22"/>
        <v>0</v>
      </c>
      <c r="S50" s="5">
        <f t="shared" si="22"/>
        <v>0</v>
      </c>
      <c r="T50" s="5">
        <f t="shared" si="22"/>
        <v>738.0100000000001</v>
      </c>
      <c r="U50" s="5">
        <f t="shared" si="22"/>
        <v>74665.317099999986</v>
      </c>
    </row>
    <row r="51" spans="1:24" s="4" customFormat="1" ht="38.25" customHeight="1">
      <c r="A51" s="34"/>
      <c r="B51" s="37" t="s">
        <v>57</v>
      </c>
      <c r="C51" s="5">
        <f>'March 2023'!H51</f>
        <v>119436.1189</v>
      </c>
      <c r="D51" s="5">
        <f t="shared" ref="D51:U51" si="23">D50+D39+D25</f>
        <v>1825.6299999999999</v>
      </c>
      <c r="E51" s="5">
        <f t="shared" si="23"/>
        <v>1825.6299999999999</v>
      </c>
      <c r="F51" s="5">
        <f t="shared" si="23"/>
        <v>14.030000000000001</v>
      </c>
      <c r="G51" s="5">
        <f t="shared" si="23"/>
        <v>14.030000000000001</v>
      </c>
      <c r="H51" s="26">
        <f t="shared" si="23"/>
        <v>121247.71889999998</v>
      </c>
      <c r="I51" s="5">
        <f>'March 2023'!N51</f>
        <v>10908.886</v>
      </c>
      <c r="J51" s="5">
        <f t="shared" si="23"/>
        <v>42.163999999999994</v>
      </c>
      <c r="K51" s="5">
        <f t="shared" si="23"/>
        <v>42.163999999999994</v>
      </c>
      <c r="L51" s="5">
        <f t="shared" si="23"/>
        <v>0.06</v>
      </c>
      <c r="M51" s="5">
        <f t="shared" si="23"/>
        <v>0.06</v>
      </c>
      <c r="N51" s="26">
        <f t="shared" si="23"/>
        <v>10950.99</v>
      </c>
      <c r="O51" s="5">
        <f>'March 2023'!T51</f>
        <v>1677.24</v>
      </c>
      <c r="P51" s="5">
        <f t="shared" si="23"/>
        <v>0.09</v>
      </c>
      <c r="Q51" s="5">
        <f t="shared" si="23"/>
        <v>0.09</v>
      </c>
      <c r="R51" s="5">
        <f t="shared" si="23"/>
        <v>0</v>
      </c>
      <c r="S51" s="5">
        <f t="shared" si="23"/>
        <v>0</v>
      </c>
      <c r="T51" s="26">
        <f t="shared" si="23"/>
        <v>1677.3300000000002</v>
      </c>
      <c r="U51" s="5">
        <f t="shared" si="23"/>
        <v>133876.03889999999</v>
      </c>
    </row>
    <row r="52" spans="1:24" s="4" customFormat="1" ht="38.25" customHeight="1">
      <c r="A52" s="39"/>
      <c r="B52" s="40"/>
      <c r="C52" s="41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1853.7939999999999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1853.7939999999999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133876.03889999996</v>
      </c>
      <c r="K56" s="13"/>
      <c r="L56" s="13"/>
      <c r="M56" s="16"/>
      <c r="N56" s="13"/>
      <c r="P56" s="9"/>
      <c r="Q56" s="17"/>
      <c r="U56" s="17"/>
    </row>
    <row r="57" spans="1:24" ht="33" customHeight="1">
      <c r="C57" s="19"/>
      <c r="D57" s="33"/>
      <c r="E57" s="33"/>
      <c r="F57" s="33"/>
      <c r="G57" s="33"/>
      <c r="H57" s="13"/>
      <c r="I57" s="15"/>
      <c r="J57" s="33"/>
      <c r="K57" s="13"/>
      <c r="L57" s="20"/>
      <c r="M57" s="13"/>
      <c r="N57" s="21">
        <f>'[2]sep 2020 '!J56+'April 2023'!J54</f>
        <v>118604.70489999998</v>
      </c>
      <c r="P57" s="9"/>
      <c r="Q57" s="17"/>
      <c r="U57" s="17"/>
    </row>
  </sheetData>
  <mergeCells count="26"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opLeftCell="A40" zoomScale="39" zoomScaleNormal="39" workbookViewId="0">
      <selection activeCell="J61" sqref="J6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'April 2023'!H7</f>
        <v>7.179999999999982</v>
      </c>
      <c r="D7" s="3">
        <v>0</v>
      </c>
      <c r="E7" s="3">
        <f>'April 2023'!E7+'May 23'!D7</f>
        <v>0</v>
      </c>
      <c r="F7" s="3">
        <v>0</v>
      </c>
      <c r="G7" s="3">
        <f>'April 2023'!G7+'May 23'!F7</f>
        <v>0</v>
      </c>
      <c r="H7" s="3">
        <f>C7+D7-F7</f>
        <v>7.179999999999982</v>
      </c>
      <c r="I7" s="3">
        <f>'April 2023'!N7</f>
        <v>717.74199999999973</v>
      </c>
      <c r="J7" s="3">
        <v>2.08</v>
      </c>
      <c r="K7" s="3">
        <f>'April 2023'!K7+'May 23'!J7</f>
        <v>5.3650000000000002</v>
      </c>
      <c r="L7" s="3">
        <v>0</v>
      </c>
      <c r="M7" s="3">
        <f>'April 2023'!M7+'May 23'!L7</f>
        <v>0</v>
      </c>
      <c r="N7" s="3">
        <f>I7+J7-L7</f>
        <v>719.82199999999978</v>
      </c>
      <c r="O7" s="3">
        <f>'April 2023'!T7</f>
        <v>8.436000000000007</v>
      </c>
      <c r="P7" s="3">
        <v>0</v>
      </c>
      <c r="Q7" s="3">
        <f>'April 2023'!Q7+'May 23'!P7</f>
        <v>0</v>
      </c>
      <c r="R7" s="3">
        <v>0</v>
      </c>
      <c r="S7" s="3">
        <f>'April 2023'!S7+'May 23'!R7</f>
        <v>0</v>
      </c>
      <c r="T7" s="3">
        <f>O7+P7-R7</f>
        <v>8.436000000000007</v>
      </c>
      <c r="U7" s="3">
        <f>H7+N7+T7</f>
        <v>735.43799999999976</v>
      </c>
    </row>
    <row r="8" spans="1:22" ht="38.25" customHeight="1">
      <c r="A8" s="35">
        <v>2</v>
      </c>
      <c r="B8" s="38" t="s">
        <v>14</v>
      </c>
      <c r="C8" s="3">
        <f>'April 2023'!H8</f>
        <v>265.98999999999995</v>
      </c>
      <c r="D8" s="3">
        <v>0</v>
      </c>
      <c r="E8" s="3">
        <f>'April 2023'!E8+'May 23'!D8</f>
        <v>0</v>
      </c>
      <c r="F8" s="3">
        <v>0</v>
      </c>
      <c r="G8" s="3">
        <f>'April 2023'!G8+'May 23'!F8</f>
        <v>0</v>
      </c>
      <c r="H8" s="3">
        <f t="shared" ref="H8:H48" si="0">C8+D8-F8</f>
        <v>265.98999999999995</v>
      </c>
      <c r="I8" s="3">
        <f>'April 2023'!N8</f>
        <v>402.25100000000009</v>
      </c>
      <c r="J8" s="3">
        <f>22.92+0.01</f>
        <v>22.930000000000003</v>
      </c>
      <c r="K8" s="3">
        <f>'April 2023'!K8+'May 23'!J8</f>
        <v>27.035000000000004</v>
      </c>
      <c r="L8" s="3">
        <v>0</v>
      </c>
      <c r="M8" s="3">
        <f>'April 2023'!M8+'May 23'!L8</f>
        <v>0</v>
      </c>
      <c r="N8" s="3">
        <f t="shared" ref="N8:N48" si="1">I8+J8-L8</f>
        <v>425.1810000000001</v>
      </c>
      <c r="O8" s="3">
        <f>'April 2023'!T8</f>
        <v>66.290000000000006</v>
      </c>
      <c r="P8" s="3">
        <v>0</v>
      </c>
      <c r="Q8" s="3">
        <f>'April 2023'!Q8+'May 23'!P8</f>
        <v>0</v>
      </c>
      <c r="R8" s="3">
        <v>0</v>
      </c>
      <c r="S8" s="3">
        <f>'April 2023'!S8+'May 23'!R8</f>
        <v>0</v>
      </c>
      <c r="T8" s="3">
        <f t="shared" ref="T8:T48" si="2">O8+P8-R8</f>
        <v>66.290000000000006</v>
      </c>
      <c r="U8" s="3">
        <f t="shared" ref="U8:U48" si="3">H8+N8+T8</f>
        <v>757.46100000000001</v>
      </c>
    </row>
    <row r="9" spans="1:22" ht="38.25" customHeight="1">
      <c r="A9" s="35">
        <v>3</v>
      </c>
      <c r="B9" s="38" t="s">
        <v>15</v>
      </c>
      <c r="C9" s="3">
        <f>'April 2023'!H9</f>
        <v>209.16</v>
      </c>
      <c r="D9" s="3">
        <v>0</v>
      </c>
      <c r="E9" s="3">
        <f>'April 2023'!E9+'May 23'!D9</f>
        <v>0</v>
      </c>
      <c r="F9" s="3">
        <v>0</v>
      </c>
      <c r="G9" s="3">
        <f>'April 2023'!G9+'May 23'!F9</f>
        <v>0</v>
      </c>
      <c r="H9" s="3">
        <f t="shared" si="0"/>
        <v>209.16</v>
      </c>
      <c r="I9" s="3">
        <f>'April 2023'!N9</f>
        <v>908.80799999999999</v>
      </c>
      <c r="J9" s="3">
        <f>5.82-0.01</f>
        <v>5.8100000000000005</v>
      </c>
      <c r="K9" s="3">
        <f>'April 2023'!K9+'May 23'!J9</f>
        <v>11.370000000000001</v>
      </c>
      <c r="L9" s="3">
        <v>0</v>
      </c>
      <c r="M9" s="3">
        <f>'April 2023'!M9+'May 23'!L9</f>
        <v>0</v>
      </c>
      <c r="N9" s="3">
        <f t="shared" si="1"/>
        <v>914.61799999999994</v>
      </c>
      <c r="O9" s="3">
        <f>'April 2023'!T9</f>
        <v>44.739999999999995</v>
      </c>
      <c r="P9" s="3">
        <v>0</v>
      </c>
      <c r="Q9" s="3">
        <f>'April 2023'!Q9+'May 23'!P9</f>
        <v>0</v>
      </c>
      <c r="R9" s="3">
        <v>0</v>
      </c>
      <c r="S9" s="3">
        <f>'April 2023'!S9+'May 23'!R9</f>
        <v>0</v>
      </c>
      <c r="T9" s="3">
        <f t="shared" si="2"/>
        <v>44.739999999999995</v>
      </c>
      <c r="U9" s="3">
        <f t="shared" si="3"/>
        <v>1168.518</v>
      </c>
    </row>
    <row r="10" spans="1:22" s="4" customFormat="1" ht="38.25" customHeight="1">
      <c r="A10" s="35">
        <v>4</v>
      </c>
      <c r="B10" s="38" t="s">
        <v>16</v>
      </c>
      <c r="C10" s="3">
        <f>'April 2023'!H10</f>
        <v>0</v>
      </c>
      <c r="D10" s="3">
        <v>0</v>
      </c>
      <c r="E10" s="3">
        <f>'April 2023'!E10+'May 23'!D10</f>
        <v>0</v>
      </c>
      <c r="F10" s="3">
        <v>0</v>
      </c>
      <c r="G10" s="3">
        <f>'April 2023'!G10+'May 23'!F10</f>
        <v>0</v>
      </c>
      <c r="H10" s="3">
        <f t="shared" si="0"/>
        <v>0</v>
      </c>
      <c r="I10" s="3">
        <f>'April 2023'!N10</f>
        <v>366.0689999999999</v>
      </c>
      <c r="J10" s="3">
        <f>0.642+0.01</f>
        <v>0.65200000000000002</v>
      </c>
      <c r="K10" s="3">
        <f>'April 2023'!K10+'May 23'!J10</f>
        <v>1.7480000000000002</v>
      </c>
      <c r="L10" s="3">
        <v>0</v>
      </c>
      <c r="M10" s="3">
        <f>'April 2023'!M10+'May 23'!L10</f>
        <v>0</v>
      </c>
      <c r="N10" s="3">
        <f t="shared" si="1"/>
        <v>366.72099999999989</v>
      </c>
      <c r="O10" s="3">
        <f>'April 2023'!T10</f>
        <v>0.20000000000000007</v>
      </c>
      <c r="P10" s="3">
        <v>0</v>
      </c>
      <c r="Q10" s="3">
        <f>'April 2023'!Q10+'May 23'!P10</f>
        <v>0</v>
      </c>
      <c r="R10" s="3">
        <v>0</v>
      </c>
      <c r="S10" s="3">
        <f>'April 2023'!S10+'May 23'!R10</f>
        <v>0</v>
      </c>
      <c r="T10" s="3">
        <f t="shared" si="2"/>
        <v>0.20000000000000007</v>
      </c>
      <c r="U10" s="3">
        <f t="shared" si="3"/>
        <v>366.92099999999988</v>
      </c>
    </row>
    <row r="11" spans="1:22" s="4" customFormat="1" ht="38.25" customHeight="1">
      <c r="A11" s="34"/>
      <c r="B11" s="37" t="s">
        <v>17</v>
      </c>
      <c r="C11" s="5">
        <f>'April 2023'!H11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'April 2023'!N11</f>
        <v>2394.87</v>
      </c>
      <c r="J11" s="5">
        <f t="shared" si="4"/>
        <v>31.472000000000008</v>
      </c>
      <c r="K11" s="5">
        <f t="shared" si="4"/>
        <v>45.518000000000008</v>
      </c>
      <c r="L11" s="5">
        <f t="shared" si="4"/>
        <v>0</v>
      </c>
      <c r="M11" s="5">
        <f t="shared" si="4"/>
        <v>0</v>
      </c>
      <c r="N11" s="5">
        <f t="shared" si="4"/>
        <v>2426.3420000000001</v>
      </c>
      <c r="O11" s="5">
        <f>'April 2023'!T11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3028.3379999999997</v>
      </c>
      <c r="V11" s="5"/>
    </row>
    <row r="12" spans="1:22" ht="38.25" customHeight="1">
      <c r="A12" s="35">
        <v>5</v>
      </c>
      <c r="B12" s="38" t="s">
        <v>18</v>
      </c>
      <c r="C12" s="3">
        <f>'April 2023'!H12</f>
        <v>22.179999999999609</v>
      </c>
      <c r="D12" s="3">
        <v>0</v>
      </c>
      <c r="E12" s="3">
        <f>'April 2023'!E12+'May 23'!D12</f>
        <v>0</v>
      </c>
      <c r="F12" s="3">
        <v>0</v>
      </c>
      <c r="G12" s="3">
        <f>'April 2023'!G12+'May 23'!F12</f>
        <v>0</v>
      </c>
      <c r="H12" s="3">
        <f t="shared" si="0"/>
        <v>22.179999999999609</v>
      </c>
      <c r="I12" s="3">
        <f>'April 2023'!N12</f>
        <v>1278.8449999999998</v>
      </c>
      <c r="J12" s="25">
        <v>5.41</v>
      </c>
      <c r="K12" s="3">
        <f>'April 2023'!K12+'May 23'!J12</f>
        <v>7.82</v>
      </c>
      <c r="L12" s="3">
        <v>0</v>
      </c>
      <c r="M12" s="3">
        <f>'April 2023'!M12+'May 23'!L12</f>
        <v>0</v>
      </c>
      <c r="N12" s="3">
        <f t="shared" si="1"/>
        <v>1284.2549999999999</v>
      </c>
      <c r="O12" s="3">
        <f>'April 2023'!T12</f>
        <v>1.9700000000000095</v>
      </c>
      <c r="P12" s="3">
        <v>0</v>
      </c>
      <c r="Q12" s="3">
        <f>'April 2023'!Q12+'May 23'!P12</f>
        <v>0</v>
      </c>
      <c r="R12" s="3">
        <v>0</v>
      </c>
      <c r="S12" s="3">
        <f>'April 2023'!S12+'May 23'!R12</f>
        <v>0</v>
      </c>
      <c r="T12" s="3">
        <f t="shared" si="2"/>
        <v>1.9700000000000095</v>
      </c>
      <c r="U12" s="3">
        <f t="shared" si="3"/>
        <v>1308.4049999999995</v>
      </c>
    </row>
    <row r="13" spans="1:22" ht="38.25" customHeight="1">
      <c r="A13" s="35">
        <v>6</v>
      </c>
      <c r="B13" s="38" t="s">
        <v>19</v>
      </c>
      <c r="C13" s="3">
        <f>'April 2023'!H13</f>
        <v>312.23000000000013</v>
      </c>
      <c r="D13" s="3">
        <v>0</v>
      </c>
      <c r="E13" s="3">
        <f>'April 2023'!E13+'May 23'!D13</f>
        <v>0</v>
      </c>
      <c r="F13" s="3">
        <v>0</v>
      </c>
      <c r="G13" s="3">
        <f>'April 2023'!G13+'May 23'!F13</f>
        <v>0</v>
      </c>
      <c r="H13" s="3">
        <f t="shared" si="0"/>
        <v>312.23000000000013</v>
      </c>
      <c r="I13" s="3">
        <f>'April 2023'!N13</f>
        <v>547.38200000000018</v>
      </c>
      <c r="J13" s="25">
        <v>2.3199999999999998</v>
      </c>
      <c r="K13" s="3">
        <f>'April 2023'!K13+'May 23'!J13</f>
        <v>4.17</v>
      </c>
      <c r="L13" s="3">
        <v>0</v>
      </c>
      <c r="M13" s="3">
        <f>'April 2023'!M13+'May 23'!L13</f>
        <v>0</v>
      </c>
      <c r="N13" s="3">
        <f t="shared" si="1"/>
        <v>549.70200000000023</v>
      </c>
      <c r="O13" s="3">
        <f>'April 2023'!T13</f>
        <v>68.39</v>
      </c>
      <c r="P13" s="3">
        <v>0</v>
      </c>
      <c r="Q13" s="3">
        <f>'April 2023'!Q13+'May 23'!P13</f>
        <v>0</v>
      </c>
      <c r="R13" s="3">
        <v>0</v>
      </c>
      <c r="S13" s="3">
        <f>'April 2023'!S13+'May 23'!R13</f>
        <v>0</v>
      </c>
      <c r="T13" s="3">
        <f t="shared" si="2"/>
        <v>68.39</v>
      </c>
      <c r="U13" s="3">
        <f t="shared" si="3"/>
        <v>930.32200000000034</v>
      </c>
    </row>
    <row r="14" spans="1:22" s="4" customFormat="1" ht="38.25" customHeight="1">
      <c r="A14" s="35">
        <v>7</v>
      </c>
      <c r="B14" s="38" t="s">
        <v>20</v>
      </c>
      <c r="C14" s="3">
        <f>'April 2023'!H14</f>
        <v>1216.4399999999994</v>
      </c>
      <c r="D14" s="3">
        <v>0</v>
      </c>
      <c r="E14" s="3">
        <f>'April 2023'!E14+'May 23'!D14</f>
        <v>0</v>
      </c>
      <c r="F14" s="3">
        <v>0</v>
      </c>
      <c r="G14" s="3">
        <f>'April 2023'!G14+'May 23'!F14</f>
        <v>0</v>
      </c>
      <c r="H14" s="3">
        <f t="shared" si="0"/>
        <v>1216.4399999999994</v>
      </c>
      <c r="I14" s="3">
        <f>'April 2023'!N14</f>
        <v>913.10800000000029</v>
      </c>
      <c r="J14" s="25">
        <v>3.44</v>
      </c>
      <c r="K14" s="3">
        <f>'April 2023'!K14+'May 23'!J14</f>
        <v>13.049999999999999</v>
      </c>
      <c r="L14" s="3">
        <v>0</v>
      </c>
      <c r="M14" s="3">
        <f>'April 2023'!M14+'May 23'!L14</f>
        <v>0</v>
      </c>
      <c r="N14" s="3">
        <f t="shared" si="1"/>
        <v>916.54800000000034</v>
      </c>
      <c r="O14" s="3">
        <f>'April 2023'!T14</f>
        <v>61.329999999999991</v>
      </c>
      <c r="P14" s="3">
        <v>0</v>
      </c>
      <c r="Q14" s="3">
        <f>'April 2023'!Q14+'May 23'!P14</f>
        <v>0</v>
      </c>
      <c r="R14" s="3">
        <v>0</v>
      </c>
      <c r="S14" s="3">
        <f>'April 2023'!S14+'May 23'!R14</f>
        <v>0</v>
      </c>
      <c r="T14" s="3">
        <f t="shared" si="2"/>
        <v>61.329999999999991</v>
      </c>
      <c r="U14" s="3">
        <f t="shared" si="3"/>
        <v>2194.3179999999998</v>
      </c>
    </row>
    <row r="15" spans="1:22" s="4" customFormat="1" ht="38.25" customHeight="1">
      <c r="A15" s="34"/>
      <c r="B15" s="37" t="s">
        <v>21</v>
      </c>
      <c r="C15" s="5">
        <f>'April 2023'!H15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1550.849999999999</v>
      </c>
      <c r="I15" s="5">
        <f>'April 2023'!N15</f>
        <v>2739.335</v>
      </c>
      <c r="J15" s="5">
        <f t="shared" si="5"/>
        <v>11.17</v>
      </c>
      <c r="K15" s="5">
        <f t="shared" si="5"/>
        <v>25.04</v>
      </c>
      <c r="L15" s="5">
        <f t="shared" si="5"/>
        <v>0</v>
      </c>
      <c r="M15" s="5">
        <f t="shared" si="5"/>
        <v>0</v>
      </c>
      <c r="N15" s="5">
        <f t="shared" si="5"/>
        <v>2750.5050000000006</v>
      </c>
      <c r="O15" s="5">
        <f>'April 2023'!T15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4433.0450000000001</v>
      </c>
      <c r="V15" s="5"/>
    </row>
    <row r="16" spans="1:22" s="6" customFormat="1" ht="38.25" customHeight="1">
      <c r="A16" s="35">
        <v>8</v>
      </c>
      <c r="B16" s="38" t="s">
        <v>22</v>
      </c>
      <c r="C16" s="3">
        <f>'April 2023'!H16</f>
        <v>752.35400000000027</v>
      </c>
      <c r="D16" s="3">
        <v>0.32</v>
      </c>
      <c r="E16" s="3">
        <f>'April 2023'!E16+'May 23'!D16</f>
        <v>0.74</v>
      </c>
      <c r="F16" s="3">
        <v>0</v>
      </c>
      <c r="G16" s="3">
        <f>'April 2023'!G16+'May 23'!F16</f>
        <v>4.2300000000000004</v>
      </c>
      <c r="H16" s="3">
        <f t="shared" si="0"/>
        <v>752.67400000000032</v>
      </c>
      <c r="I16" s="3">
        <f>'April 2023'!N16</f>
        <v>577.42600000000016</v>
      </c>
      <c r="J16" s="3">
        <v>0.97</v>
      </c>
      <c r="K16" s="3">
        <f>'April 2023'!K16+'May 23'!J16</f>
        <v>1.42</v>
      </c>
      <c r="L16" s="3">
        <v>0</v>
      </c>
      <c r="M16" s="3">
        <f>'April 2023'!M16+'May 23'!L16</f>
        <v>0</v>
      </c>
      <c r="N16" s="3">
        <f t="shared" si="1"/>
        <v>578.39600000000019</v>
      </c>
      <c r="O16" s="3">
        <f>'April 2023'!T16</f>
        <v>177.47200000000004</v>
      </c>
      <c r="P16" s="3">
        <v>0.05</v>
      </c>
      <c r="Q16" s="3">
        <f>'April 2023'!Q16+'May 23'!P16</f>
        <v>0.08</v>
      </c>
      <c r="R16" s="3">
        <v>0.03</v>
      </c>
      <c r="S16" s="3">
        <f>'April 2023'!S16+'May 23'!R16</f>
        <v>0.03</v>
      </c>
      <c r="T16" s="3">
        <f t="shared" si="2"/>
        <v>177.49200000000005</v>
      </c>
      <c r="U16" s="3">
        <f t="shared" si="3"/>
        <v>1508.5620000000006</v>
      </c>
    </row>
    <row r="17" spans="1:23" ht="61.5" customHeight="1">
      <c r="A17" s="7">
        <v>9</v>
      </c>
      <c r="B17" s="8" t="s">
        <v>23</v>
      </c>
      <c r="C17" s="3">
        <f>'April 2023'!H17</f>
        <v>2.6759999999999478</v>
      </c>
      <c r="D17" s="3">
        <v>0.05</v>
      </c>
      <c r="E17" s="3">
        <f>'April 2023'!E17+'May 23'!D17</f>
        <v>0.05</v>
      </c>
      <c r="F17" s="3">
        <v>0</v>
      </c>
      <c r="G17" s="3">
        <f>'April 2023'!G17+'May 23'!F17</f>
        <v>0</v>
      </c>
      <c r="H17" s="3">
        <f t="shared" si="0"/>
        <v>2.7259999999999476</v>
      </c>
      <c r="I17" s="3">
        <f>'April 2023'!N17</f>
        <v>595.04999999999995</v>
      </c>
      <c r="J17" s="3">
        <f>4.2-1.25+1.24</f>
        <v>4.1900000000000004</v>
      </c>
      <c r="K17" s="3">
        <f>'April 2023'!K17+'May 23'!J17</f>
        <v>10.120000000000001</v>
      </c>
      <c r="L17" s="3">
        <v>0.43</v>
      </c>
      <c r="M17" s="3">
        <f>'April 2023'!M17+'May 23'!L17</f>
        <v>0.43</v>
      </c>
      <c r="N17" s="3">
        <f t="shared" si="1"/>
        <v>598.81000000000006</v>
      </c>
      <c r="O17" s="3">
        <f>'April 2023'!T17</f>
        <v>1.9500000000000002</v>
      </c>
      <c r="P17" s="3">
        <f>1.2+0.02</f>
        <v>1.22</v>
      </c>
      <c r="Q17" s="3">
        <f>'April 2023'!Q17+'May 23'!P17</f>
        <v>1.22</v>
      </c>
      <c r="R17" s="3">
        <v>0.43</v>
      </c>
      <c r="S17" s="3">
        <f>'April 2023'!S17+'May 23'!R17</f>
        <v>0.43</v>
      </c>
      <c r="T17" s="3">
        <f t="shared" si="2"/>
        <v>2.7399999999999998</v>
      </c>
      <c r="U17" s="3">
        <f t="shared" si="3"/>
        <v>604.27600000000007</v>
      </c>
    </row>
    <row r="18" spans="1:23" s="4" customFormat="1" ht="38.25" customHeight="1">
      <c r="A18" s="35">
        <v>10</v>
      </c>
      <c r="B18" s="38" t="s">
        <v>24</v>
      </c>
      <c r="C18" s="3">
        <f>'April 2023'!H18</f>
        <v>90.266000000000147</v>
      </c>
      <c r="D18" s="3">
        <v>0</v>
      </c>
      <c r="E18" s="3">
        <f>'April 2023'!E18+'May 23'!D18</f>
        <v>0.05</v>
      </c>
      <c r="F18" s="3">
        <v>0</v>
      </c>
      <c r="G18" s="3">
        <f>'April 2023'!G18+'May 23'!F18</f>
        <v>0.05</v>
      </c>
      <c r="H18" s="3">
        <f t="shared" si="0"/>
        <v>90.266000000000147</v>
      </c>
      <c r="I18" s="3">
        <f>'April 2023'!N18</f>
        <v>619.85</v>
      </c>
      <c r="J18" s="3">
        <f>0.24</f>
        <v>0.24</v>
      </c>
      <c r="K18" s="3">
        <f>'April 2023'!K18+'May 23'!J18</f>
        <v>2.7949999999999999</v>
      </c>
      <c r="L18" s="3">
        <v>0</v>
      </c>
      <c r="M18" s="3">
        <f>'April 2023'!M18+'May 23'!L18</f>
        <v>0</v>
      </c>
      <c r="N18" s="3">
        <f t="shared" si="1"/>
        <v>620.09</v>
      </c>
      <c r="O18" s="3">
        <f>'April 2023'!T18</f>
        <v>35.689999999999991</v>
      </c>
      <c r="P18" s="3">
        <v>0</v>
      </c>
      <c r="Q18" s="3">
        <f>'April 2023'!Q18+'May 23'!P18</f>
        <v>0</v>
      </c>
      <c r="R18" s="3">
        <v>0</v>
      </c>
      <c r="S18" s="3">
        <f>'April 2023'!S18+'May 23'!R18</f>
        <v>0</v>
      </c>
      <c r="T18" s="3">
        <f t="shared" si="2"/>
        <v>35.689999999999991</v>
      </c>
      <c r="U18" s="3">
        <f t="shared" si="3"/>
        <v>746.04600000000016</v>
      </c>
    </row>
    <row r="19" spans="1:23" s="4" customFormat="1" ht="38.25" customHeight="1">
      <c r="A19" s="34"/>
      <c r="B19" s="37" t="s">
        <v>25</v>
      </c>
      <c r="C19" s="5">
        <f>'April 2023'!H19</f>
        <v>845.29600000000039</v>
      </c>
      <c r="D19" s="5">
        <f t="shared" ref="D19:U19" si="6">SUM(D16:D18)</f>
        <v>0.37</v>
      </c>
      <c r="E19" s="5">
        <f t="shared" si="6"/>
        <v>0.84000000000000008</v>
      </c>
      <c r="F19" s="5">
        <f t="shared" si="6"/>
        <v>0</v>
      </c>
      <c r="G19" s="5">
        <f t="shared" si="6"/>
        <v>4.28</v>
      </c>
      <c r="H19" s="5">
        <f t="shared" si="6"/>
        <v>845.66600000000051</v>
      </c>
      <c r="I19" s="5">
        <f>'April 2023'!N19</f>
        <v>1792.326</v>
      </c>
      <c r="J19" s="5">
        <f t="shared" si="6"/>
        <v>5.4</v>
      </c>
      <c r="K19" s="5">
        <f t="shared" si="6"/>
        <v>14.335000000000001</v>
      </c>
      <c r="L19" s="5">
        <f t="shared" si="6"/>
        <v>0.43</v>
      </c>
      <c r="M19" s="5">
        <f t="shared" si="6"/>
        <v>0.43</v>
      </c>
      <c r="N19" s="5">
        <f t="shared" si="6"/>
        <v>1797.2960000000003</v>
      </c>
      <c r="O19" s="5">
        <f>'April 2023'!T19</f>
        <v>215.11200000000002</v>
      </c>
      <c r="P19" s="5">
        <f t="shared" si="6"/>
        <v>1.27</v>
      </c>
      <c r="Q19" s="5">
        <f t="shared" si="6"/>
        <v>1.3</v>
      </c>
      <c r="R19" s="5">
        <f t="shared" si="6"/>
        <v>0.45999999999999996</v>
      </c>
      <c r="S19" s="5">
        <f t="shared" si="6"/>
        <v>0.45999999999999996</v>
      </c>
      <c r="T19" s="5">
        <f t="shared" si="6"/>
        <v>215.92200000000005</v>
      </c>
      <c r="U19" s="5">
        <f t="shared" si="6"/>
        <v>2858.8840000000009</v>
      </c>
    </row>
    <row r="20" spans="1:23" ht="38.25" customHeight="1">
      <c r="A20" s="35">
        <v>11</v>
      </c>
      <c r="B20" s="38" t="s">
        <v>26</v>
      </c>
      <c r="C20" s="3">
        <f>'April 2023'!H20</f>
        <v>607.42999999999984</v>
      </c>
      <c r="D20" s="3">
        <v>0</v>
      </c>
      <c r="E20" s="3">
        <f>'April 2023'!E20+'May 23'!D20</f>
        <v>0</v>
      </c>
      <c r="F20" s="3">
        <v>0</v>
      </c>
      <c r="G20" s="3">
        <f>'April 2023'!G20+'May 23'!F20</f>
        <v>0</v>
      </c>
      <c r="H20" s="3">
        <f t="shared" si="0"/>
        <v>607.42999999999984</v>
      </c>
      <c r="I20" s="3">
        <f>'April 2023'!N20</f>
        <v>749.12800000000027</v>
      </c>
      <c r="J20" s="3">
        <v>1.78</v>
      </c>
      <c r="K20" s="3">
        <f>'April 2023'!K20+'May 23'!J20</f>
        <v>2.52</v>
      </c>
      <c r="L20" s="3">
        <v>0</v>
      </c>
      <c r="M20" s="3">
        <f>'April 2023'!M20+'May 23'!L20</f>
        <v>0.02</v>
      </c>
      <c r="N20" s="3">
        <f t="shared" si="1"/>
        <v>750.90800000000024</v>
      </c>
      <c r="O20" s="3">
        <f>'April 2023'!T20</f>
        <v>37.580000000000005</v>
      </c>
      <c r="P20" s="3">
        <v>0</v>
      </c>
      <c r="Q20" s="3">
        <f>'April 2023'!Q20+'May 23'!P20</f>
        <v>0</v>
      </c>
      <c r="R20" s="3">
        <v>0</v>
      </c>
      <c r="S20" s="3">
        <f>'April 2023'!S20+'May 23'!R20</f>
        <v>0</v>
      </c>
      <c r="T20" s="3">
        <f t="shared" si="2"/>
        <v>37.580000000000005</v>
      </c>
      <c r="U20" s="3">
        <f t="shared" si="3"/>
        <v>1395.9180000000001</v>
      </c>
      <c r="W20" s="90"/>
    </row>
    <row r="21" spans="1:23" ht="38.25" customHeight="1">
      <c r="A21" s="35">
        <v>12</v>
      </c>
      <c r="B21" s="38" t="s">
        <v>27</v>
      </c>
      <c r="C21" s="3">
        <f>'April 2023'!H21</f>
        <v>2.0700000000000003</v>
      </c>
      <c r="D21" s="3">
        <v>0</v>
      </c>
      <c r="E21" s="3">
        <f>'April 2023'!E21+'May 23'!D21</f>
        <v>0</v>
      </c>
      <c r="F21" s="3">
        <v>0</v>
      </c>
      <c r="G21" s="3">
        <f>'April 2023'!G21+'May 23'!F21</f>
        <v>0</v>
      </c>
      <c r="H21" s="3">
        <f t="shared" si="0"/>
        <v>2.0700000000000003</v>
      </c>
      <c r="I21" s="3">
        <f>'April 2023'!N21</f>
        <v>461.75700000000012</v>
      </c>
      <c r="J21" s="3">
        <v>3.34</v>
      </c>
      <c r="K21" s="3">
        <f>'April 2023'!K21+'May 23'!J21</f>
        <v>3.69</v>
      </c>
      <c r="L21" s="3">
        <v>0</v>
      </c>
      <c r="M21" s="3">
        <f>'April 2023'!M21+'May 23'!L21</f>
        <v>0.02</v>
      </c>
      <c r="N21" s="3">
        <f t="shared" si="1"/>
        <v>465.09700000000009</v>
      </c>
      <c r="O21" s="3">
        <f>'April 2023'!T21</f>
        <v>18.889999999999993</v>
      </c>
      <c r="P21" s="3">
        <v>0</v>
      </c>
      <c r="Q21" s="3">
        <f>'April 2023'!Q21+'May 23'!P21</f>
        <v>0</v>
      </c>
      <c r="R21" s="3">
        <v>0</v>
      </c>
      <c r="S21" s="3">
        <f>'April 2023'!S21+'May 23'!R21</f>
        <v>0</v>
      </c>
      <c r="T21" s="3">
        <f t="shared" si="2"/>
        <v>18.889999999999993</v>
      </c>
      <c r="U21" s="3">
        <f t="shared" si="3"/>
        <v>486.05700000000007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'April 2023'!H22</f>
        <v>22.430000000000021</v>
      </c>
      <c r="D22" s="3">
        <v>0</v>
      </c>
      <c r="E22" s="3">
        <f>'April 2023'!E22+'May 23'!D22</f>
        <v>0</v>
      </c>
      <c r="F22" s="3">
        <v>0</v>
      </c>
      <c r="G22" s="3">
        <f>'April 2023'!G22+'May 23'!F22</f>
        <v>0</v>
      </c>
      <c r="H22" s="3">
        <f t="shared" si="0"/>
        <v>22.430000000000021</v>
      </c>
      <c r="I22" s="3">
        <f>'April 2023'!N22</f>
        <v>698.55000000000018</v>
      </c>
      <c r="J22" s="3">
        <v>0.28999999999999998</v>
      </c>
      <c r="K22" s="3">
        <f>'April 2023'!K22+'May 23'!J22</f>
        <v>0.62</v>
      </c>
      <c r="L22" s="3">
        <v>0</v>
      </c>
      <c r="M22" s="3">
        <f>'April 2023'!M22+'May 23'!L22</f>
        <v>0</v>
      </c>
      <c r="N22" s="3">
        <f t="shared" si="1"/>
        <v>698.84000000000015</v>
      </c>
      <c r="O22" s="3">
        <f>'April 2023'!T22</f>
        <v>0.60000000000000098</v>
      </c>
      <c r="P22" s="3">
        <v>0</v>
      </c>
      <c r="Q22" s="3">
        <f>'April 2023'!Q22+'May 23'!P22</f>
        <v>0</v>
      </c>
      <c r="R22" s="3">
        <v>0</v>
      </c>
      <c r="S22" s="3">
        <f>'April 2023'!S22+'May 23'!R22</f>
        <v>0</v>
      </c>
      <c r="T22" s="3">
        <f t="shared" si="2"/>
        <v>0.60000000000000098</v>
      </c>
      <c r="U22" s="3">
        <f t="shared" si="3"/>
        <v>721.87000000000023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'April 2023'!H23</f>
        <v>430.64</v>
      </c>
      <c r="D23" s="3">
        <f>1.5+0.03</f>
        <v>1.53</v>
      </c>
      <c r="E23" s="3">
        <f>'April 2023'!E23+'May 23'!D23</f>
        <v>1.53</v>
      </c>
      <c r="F23" s="3">
        <v>0</v>
      </c>
      <c r="G23" s="3">
        <f>'April 2023'!G23+'May 23'!F23</f>
        <v>0</v>
      </c>
      <c r="H23" s="3">
        <f t="shared" si="0"/>
        <v>432.16999999999996</v>
      </c>
      <c r="I23" s="3">
        <f>'April 2023'!N23</f>
        <v>140.29499999999999</v>
      </c>
      <c r="J23" s="3">
        <v>0.19</v>
      </c>
      <c r="K23" s="3">
        <f>'April 2023'!K23+'May 23'!J23</f>
        <v>0.92999999999999994</v>
      </c>
      <c r="L23" s="3">
        <v>0</v>
      </c>
      <c r="M23" s="3">
        <f>'April 2023'!M23+'May 23'!L23</f>
        <v>0</v>
      </c>
      <c r="N23" s="3">
        <f t="shared" si="1"/>
        <v>140.48499999999999</v>
      </c>
      <c r="O23" s="3">
        <f>'April 2023'!T23</f>
        <v>22.5</v>
      </c>
      <c r="P23" s="3">
        <v>0</v>
      </c>
      <c r="Q23" s="3">
        <f>'April 2023'!Q23+'May 23'!P23</f>
        <v>0</v>
      </c>
      <c r="R23" s="3">
        <v>0</v>
      </c>
      <c r="S23" s="3">
        <f>'April 2023'!S23+'May 23'!R23</f>
        <v>0</v>
      </c>
      <c r="T23" s="3">
        <f t="shared" si="2"/>
        <v>22.5</v>
      </c>
      <c r="U23" s="3">
        <f t="shared" si="3"/>
        <v>595.15499999999997</v>
      </c>
      <c r="W23" s="90"/>
    </row>
    <row r="24" spans="1:23" s="4" customFormat="1" ht="38.25" customHeight="1">
      <c r="A24" s="34"/>
      <c r="B24" s="37" t="s">
        <v>30</v>
      </c>
      <c r="C24" s="5">
        <f>'April 2023'!H24</f>
        <v>1062.57</v>
      </c>
      <c r="D24" s="5">
        <f t="shared" ref="D24:U24" si="7">SUM(D20:D23)</f>
        <v>1.53</v>
      </c>
      <c r="E24" s="5">
        <f t="shared" si="7"/>
        <v>1.53</v>
      </c>
      <c r="F24" s="5">
        <f t="shared" si="7"/>
        <v>0</v>
      </c>
      <c r="G24" s="5">
        <f t="shared" si="7"/>
        <v>0</v>
      </c>
      <c r="H24" s="5">
        <f t="shared" si="7"/>
        <v>1064.0999999999999</v>
      </c>
      <c r="I24" s="5">
        <f>'April 2023'!N24</f>
        <v>2049.7300000000005</v>
      </c>
      <c r="J24" s="5">
        <f t="shared" si="7"/>
        <v>5.6000000000000005</v>
      </c>
      <c r="K24" s="5">
        <f t="shared" si="7"/>
        <v>7.76</v>
      </c>
      <c r="L24" s="5">
        <f t="shared" si="7"/>
        <v>0</v>
      </c>
      <c r="M24" s="5">
        <f t="shared" si="7"/>
        <v>0.04</v>
      </c>
      <c r="N24" s="5">
        <f t="shared" si="7"/>
        <v>2055.3300000000004</v>
      </c>
      <c r="O24" s="5">
        <f>'April 2023'!T24</f>
        <v>79.569999999999993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0</v>
      </c>
      <c r="T24" s="5">
        <f t="shared" si="7"/>
        <v>79.569999999999993</v>
      </c>
      <c r="U24" s="5">
        <f t="shared" si="7"/>
        <v>3199</v>
      </c>
    </row>
    <row r="25" spans="1:23" s="4" customFormat="1" ht="38.25" customHeight="1">
      <c r="A25" s="34"/>
      <c r="B25" s="37" t="s">
        <v>31</v>
      </c>
      <c r="C25" s="5">
        <f>'April 2023'!H25</f>
        <v>3941.0459999999994</v>
      </c>
      <c r="D25" s="5">
        <f t="shared" ref="D25:U25" si="8">D24+D19+D15+D11</f>
        <v>1.9</v>
      </c>
      <c r="E25" s="5">
        <f t="shared" si="8"/>
        <v>2.37</v>
      </c>
      <c r="F25" s="5">
        <f t="shared" si="8"/>
        <v>0</v>
      </c>
      <c r="G25" s="5">
        <f t="shared" si="8"/>
        <v>4.28</v>
      </c>
      <c r="H25" s="5">
        <f t="shared" si="8"/>
        <v>3942.9459999999995</v>
      </c>
      <c r="I25" s="5">
        <f>'April 2023'!N25</f>
        <v>8976.2610000000004</v>
      </c>
      <c r="J25" s="5">
        <f t="shared" si="8"/>
        <v>53.64200000000001</v>
      </c>
      <c r="K25" s="5">
        <f t="shared" si="8"/>
        <v>92.653000000000006</v>
      </c>
      <c r="L25" s="5">
        <f t="shared" si="8"/>
        <v>0.43</v>
      </c>
      <c r="M25" s="5">
        <f t="shared" si="8"/>
        <v>0.47</v>
      </c>
      <c r="N25" s="5">
        <f t="shared" si="8"/>
        <v>9029.4730000000018</v>
      </c>
      <c r="O25" s="5">
        <f>'April 2023'!T25</f>
        <v>546.03800000000001</v>
      </c>
      <c r="P25" s="5">
        <f t="shared" si="8"/>
        <v>1.27</v>
      </c>
      <c r="Q25" s="5">
        <f t="shared" si="8"/>
        <v>1.3</v>
      </c>
      <c r="R25" s="5">
        <f t="shared" si="8"/>
        <v>0.45999999999999996</v>
      </c>
      <c r="S25" s="5">
        <f t="shared" si="8"/>
        <v>0.45999999999999996</v>
      </c>
      <c r="T25" s="5">
        <f t="shared" si="8"/>
        <v>546.84800000000007</v>
      </c>
      <c r="U25" s="5">
        <f t="shared" si="8"/>
        <v>13519.267</v>
      </c>
    </row>
    <row r="26" spans="1:23" ht="38.25" customHeight="1">
      <c r="A26" s="35">
        <v>15</v>
      </c>
      <c r="B26" s="38" t="s">
        <v>32</v>
      </c>
      <c r="C26" s="3">
        <f>'April 2023'!H26</f>
        <v>1633.77</v>
      </c>
      <c r="D26" s="3">
        <v>6.91</v>
      </c>
      <c r="E26" s="3">
        <f>'April 2023'!E26+'May 23'!D26</f>
        <v>12.39</v>
      </c>
      <c r="F26" s="3">
        <v>0</v>
      </c>
      <c r="G26" s="3">
        <f>'April 2023'!G26+'May 23'!F26</f>
        <v>0</v>
      </c>
      <c r="H26" s="3">
        <f t="shared" si="0"/>
        <v>1640.68</v>
      </c>
      <c r="I26" s="3">
        <f>'April 2023'!N26</f>
        <v>122.17</v>
      </c>
      <c r="J26" s="3">
        <v>0.03</v>
      </c>
      <c r="K26" s="3">
        <f>'April 2023'!K26+'May 23'!J26</f>
        <v>0.65</v>
      </c>
      <c r="L26" s="3">
        <v>0</v>
      </c>
      <c r="M26" s="3">
        <f>'April 2023'!M26+'May 23'!L26</f>
        <v>0</v>
      </c>
      <c r="N26" s="3">
        <f t="shared" si="1"/>
        <v>122.2</v>
      </c>
      <c r="O26" s="3">
        <f>'April 2023'!T26</f>
        <v>16.369999999999997</v>
      </c>
      <c r="P26" s="3">
        <v>0.12</v>
      </c>
      <c r="Q26" s="3">
        <f>'April 2023'!Q26+'May 23'!P26</f>
        <v>0.12</v>
      </c>
      <c r="R26" s="3">
        <v>0</v>
      </c>
      <c r="S26" s="3">
        <f>'April 2023'!S26+'May 23'!R26</f>
        <v>0</v>
      </c>
      <c r="T26" s="3">
        <f t="shared" si="2"/>
        <v>16.489999999999998</v>
      </c>
      <c r="U26" s="3">
        <f t="shared" si="3"/>
        <v>1779.3700000000001</v>
      </c>
    </row>
    <row r="27" spans="1:23" s="4" customFormat="1" ht="38.25" customHeight="1">
      <c r="A27" s="35">
        <v>16</v>
      </c>
      <c r="B27" s="38" t="s">
        <v>33</v>
      </c>
      <c r="C27" s="3">
        <f>'April 2023'!H27</f>
        <v>5693.1150000000043</v>
      </c>
      <c r="D27" s="3">
        <v>8.7200000000000006</v>
      </c>
      <c r="E27" s="3">
        <f>'April 2023'!E27+'May 23'!D27</f>
        <v>16.48</v>
      </c>
      <c r="F27" s="3">
        <v>0</v>
      </c>
      <c r="G27" s="3">
        <f>'April 2023'!G27+'May 23'!F27</f>
        <v>0.02</v>
      </c>
      <c r="H27" s="3">
        <f t="shared" si="0"/>
        <v>5701.8350000000046</v>
      </c>
      <c r="I27" s="3">
        <f>'April 2023'!N27</f>
        <v>634.73799999999994</v>
      </c>
      <c r="J27" s="3">
        <v>1.04</v>
      </c>
      <c r="K27" s="3">
        <f>'April 2023'!K27+'May 23'!J27</f>
        <v>1.62</v>
      </c>
      <c r="L27" s="3">
        <v>0</v>
      </c>
      <c r="M27" s="3">
        <f>'April 2023'!M27+'May 23'!L27</f>
        <v>0.02</v>
      </c>
      <c r="N27" s="3">
        <f t="shared" si="1"/>
        <v>635.77799999999991</v>
      </c>
      <c r="O27" s="3">
        <f>'April 2023'!T27</f>
        <v>33.800000000000004</v>
      </c>
      <c r="P27" s="3">
        <v>0</v>
      </c>
      <c r="Q27" s="3">
        <f>'April 2023'!Q27+'May 23'!P27</f>
        <v>0</v>
      </c>
      <c r="R27" s="3">
        <v>0</v>
      </c>
      <c r="S27" s="3">
        <f>'April 2023'!S27+'May 23'!R27</f>
        <v>0</v>
      </c>
      <c r="T27" s="3">
        <f t="shared" si="2"/>
        <v>33.800000000000004</v>
      </c>
      <c r="U27" s="3">
        <f t="shared" si="3"/>
        <v>6371.413000000005</v>
      </c>
    </row>
    <row r="28" spans="1:23" s="4" customFormat="1" ht="38.25" customHeight="1">
      <c r="A28" s="34"/>
      <c r="B28" s="37" t="s">
        <v>34</v>
      </c>
      <c r="C28" s="5">
        <f>'April 2023'!H28</f>
        <v>7326.8850000000039</v>
      </c>
      <c r="D28" s="5">
        <f t="shared" ref="D28:U28" si="9">SUM(D26:D27)</f>
        <v>15.63</v>
      </c>
      <c r="E28" s="5">
        <f t="shared" si="9"/>
        <v>28.87</v>
      </c>
      <c r="F28" s="5">
        <f t="shared" si="9"/>
        <v>0</v>
      </c>
      <c r="G28" s="5">
        <f t="shared" si="9"/>
        <v>0.02</v>
      </c>
      <c r="H28" s="5">
        <f t="shared" si="9"/>
        <v>7342.5150000000049</v>
      </c>
      <c r="I28" s="5">
        <f>'April 2023'!N28</f>
        <v>756.9079999999999</v>
      </c>
      <c r="J28" s="5">
        <f t="shared" si="9"/>
        <v>1.07</v>
      </c>
      <c r="K28" s="5">
        <f t="shared" si="9"/>
        <v>2.27</v>
      </c>
      <c r="L28" s="5">
        <f t="shared" si="9"/>
        <v>0</v>
      </c>
      <c r="M28" s="5">
        <f t="shared" si="9"/>
        <v>0.02</v>
      </c>
      <c r="N28" s="5">
        <f t="shared" si="9"/>
        <v>757.97799999999995</v>
      </c>
      <c r="O28" s="5">
        <f>'April 2023'!T28</f>
        <v>50.17</v>
      </c>
      <c r="P28" s="5">
        <f t="shared" si="9"/>
        <v>0.12</v>
      </c>
      <c r="Q28" s="5">
        <f t="shared" si="9"/>
        <v>0.12</v>
      </c>
      <c r="R28" s="5">
        <f t="shared" si="9"/>
        <v>0</v>
      </c>
      <c r="S28" s="5">
        <f t="shared" si="9"/>
        <v>0</v>
      </c>
      <c r="T28" s="5">
        <f t="shared" si="9"/>
        <v>50.290000000000006</v>
      </c>
      <c r="U28" s="5">
        <f t="shared" si="9"/>
        <v>8150.7830000000049</v>
      </c>
    </row>
    <row r="29" spans="1:23" ht="38.25" customHeight="1">
      <c r="A29" s="35">
        <v>17</v>
      </c>
      <c r="B29" s="38" t="s">
        <v>35</v>
      </c>
      <c r="C29" s="3">
        <f>'April 2023'!H29</f>
        <v>5009.6780000000008</v>
      </c>
      <c r="D29" s="3">
        <v>0.05</v>
      </c>
      <c r="E29" s="3">
        <f>'April 2023'!E29+'May 23'!D29</f>
        <v>128.69</v>
      </c>
      <c r="F29" s="3">
        <v>0</v>
      </c>
      <c r="G29" s="3">
        <f>'April 2023'!G29+'May 23'!F29</f>
        <v>0</v>
      </c>
      <c r="H29" s="3">
        <f t="shared" si="0"/>
        <v>5009.728000000001</v>
      </c>
      <c r="I29" s="3">
        <f>'April 2023'!N29</f>
        <v>121.59000000000002</v>
      </c>
      <c r="J29" s="3">
        <v>0.09</v>
      </c>
      <c r="K29" s="3">
        <f>'April 2023'!K29+'May 23'!J29</f>
        <v>0.15</v>
      </c>
      <c r="L29" s="3">
        <v>0</v>
      </c>
      <c r="M29" s="3">
        <f>'April 2023'!M29+'May 23'!L29</f>
        <v>0</v>
      </c>
      <c r="N29" s="3">
        <f t="shared" si="1"/>
        <v>121.68000000000002</v>
      </c>
      <c r="O29" s="3">
        <f>'April 2023'!T29</f>
        <v>34.52000000000001</v>
      </c>
      <c r="P29" s="3">
        <v>0</v>
      </c>
      <c r="Q29" s="3">
        <f>'April 2023'!Q29+'May 23'!P29</f>
        <v>0</v>
      </c>
      <c r="R29" s="3">
        <v>0</v>
      </c>
      <c r="S29" s="3">
        <f>'April 2023'!S29+'May 23'!R29</f>
        <v>0</v>
      </c>
      <c r="T29" s="3">
        <f t="shared" si="2"/>
        <v>34.52000000000001</v>
      </c>
      <c r="U29" s="3">
        <f t="shared" si="3"/>
        <v>5165.9280000000017</v>
      </c>
      <c r="W29" s="89"/>
    </row>
    <row r="30" spans="1:23" ht="54.75" customHeight="1">
      <c r="A30" s="35">
        <v>18</v>
      </c>
      <c r="B30" s="38" t="s">
        <v>36</v>
      </c>
      <c r="C30" s="3">
        <f>'April 2023'!H30</f>
        <v>3709.329999999999</v>
      </c>
      <c r="D30" s="3">
        <v>2.57</v>
      </c>
      <c r="E30" s="3">
        <f>'April 2023'!E30+'May 23'!D30</f>
        <v>9.75</v>
      </c>
      <c r="F30" s="3">
        <v>0</v>
      </c>
      <c r="G30" s="3">
        <f>'April 2023'!G30+'May 23'!F30</f>
        <v>0</v>
      </c>
      <c r="H30" s="3">
        <f t="shared" si="0"/>
        <v>3711.8999999999992</v>
      </c>
      <c r="I30" s="3">
        <f>'April 2023'!N30</f>
        <v>198.58699999999999</v>
      </c>
      <c r="J30" s="3">
        <v>0</v>
      </c>
      <c r="K30" s="3">
        <f>'April 2023'!K30+'May 23'!J30</f>
        <v>0</v>
      </c>
      <c r="L30" s="3">
        <v>0</v>
      </c>
      <c r="M30" s="3">
        <f>'April 2023'!M30+'May 23'!L30</f>
        <v>0</v>
      </c>
      <c r="N30" s="3">
        <f t="shared" si="1"/>
        <v>198.58699999999999</v>
      </c>
      <c r="O30" s="3">
        <f>'April 2023'!T30</f>
        <v>23.25</v>
      </c>
      <c r="P30" s="3">
        <v>0</v>
      </c>
      <c r="Q30" s="3">
        <f>'April 2023'!Q30+'May 23'!P30</f>
        <v>0</v>
      </c>
      <c r="R30" s="3">
        <v>0</v>
      </c>
      <c r="S30" s="3">
        <f>'April 2023'!S30+'May 23'!R30</f>
        <v>0</v>
      </c>
      <c r="T30" s="3">
        <f t="shared" si="2"/>
        <v>23.25</v>
      </c>
      <c r="U30" s="3">
        <f t="shared" si="3"/>
        <v>3933.7369999999992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'April 2023'!H31</f>
        <v>4702.4920000000011</v>
      </c>
      <c r="D31" s="3">
        <v>2.0779999999999998</v>
      </c>
      <c r="E31" s="3">
        <f>'April 2023'!E31+'May 23'!D31</f>
        <v>2.0779999999999998</v>
      </c>
      <c r="F31" s="3">
        <v>0</v>
      </c>
      <c r="G31" s="3">
        <f>'April 2023'!G31+'May 23'!F31</f>
        <v>0</v>
      </c>
      <c r="H31" s="3">
        <f t="shared" si="0"/>
        <v>4704.5700000000015</v>
      </c>
      <c r="I31" s="3">
        <f>'April 2023'!N31</f>
        <v>107.89500000000002</v>
      </c>
      <c r="J31" s="3">
        <v>0</v>
      </c>
      <c r="K31" s="3">
        <f>'April 2023'!K31+'May 23'!J31</f>
        <v>0.20499999999999999</v>
      </c>
      <c r="L31" s="3">
        <v>0</v>
      </c>
      <c r="M31" s="3">
        <f>'April 2023'!M31+'May 23'!L31</f>
        <v>0</v>
      </c>
      <c r="N31" s="3">
        <f t="shared" si="1"/>
        <v>107.89500000000002</v>
      </c>
      <c r="O31" s="3">
        <f>'April 2023'!T31</f>
        <v>14.850000000000001</v>
      </c>
      <c r="P31" s="3">
        <v>0</v>
      </c>
      <c r="Q31" s="3">
        <f>'April 2023'!Q31+'May 23'!P31</f>
        <v>0</v>
      </c>
      <c r="R31" s="3">
        <v>0</v>
      </c>
      <c r="S31" s="3">
        <f>'April 2023'!S31+'May 23'!R31</f>
        <v>0</v>
      </c>
      <c r="T31" s="3">
        <f t="shared" si="2"/>
        <v>14.850000000000001</v>
      </c>
      <c r="U31" s="3">
        <f t="shared" si="3"/>
        <v>4827.3150000000023</v>
      </c>
      <c r="W31" s="89"/>
    </row>
    <row r="32" spans="1:23" ht="70.5" customHeight="1">
      <c r="A32" s="35">
        <v>20</v>
      </c>
      <c r="B32" s="38" t="s">
        <v>38</v>
      </c>
      <c r="C32" s="3">
        <f>'April 2023'!H32</f>
        <v>2366.715799999999</v>
      </c>
      <c r="D32" s="3">
        <v>2.69</v>
      </c>
      <c r="E32" s="3">
        <f>'April 2023'!E32+'May 23'!D32</f>
        <v>5.1099999999999994</v>
      </c>
      <c r="F32" s="3">
        <v>0</v>
      </c>
      <c r="G32" s="3">
        <f>'April 2023'!G32+'May 23'!F32</f>
        <v>9.73</v>
      </c>
      <c r="H32" s="3">
        <f t="shared" si="0"/>
        <v>2369.4057999999991</v>
      </c>
      <c r="I32" s="3">
        <f>'April 2023'!N32</f>
        <v>94.734000000000023</v>
      </c>
      <c r="J32" s="3">
        <v>1.65</v>
      </c>
      <c r="K32" s="3">
        <f>'April 2023'!K32+'May 23'!J32</f>
        <v>3.2080000000000002</v>
      </c>
      <c r="L32" s="3">
        <v>0</v>
      </c>
      <c r="M32" s="3">
        <f>'April 2023'!M32+'May 23'!L32</f>
        <v>0</v>
      </c>
      <c r="N32" s="3">
        <f t="shared" si="1"/>
        <v>96.384000000000029</v>
      </c>
      <c r="O32" s="3">
        <f>'April 2023'!T32</f>
        <v>67.551999999999992</v>
      </c>
      <c r="P32" s="3">
        <v>0</v>
      </c>
      <c r="Q32" s="3">
        <f>'April 2023'!Q32+'May 23'!P32</f>
        <v>0</v>
      </c>
      <c r="R32" s="3">
        <v>0</v>
      </c>
      <c r="S32" s="3">
        <f>'April 2023'!S32+'May 23'!R32</f>
        <v>0</v>
      </c>
      <c r="T32" s="3">
        <f t="shared" si="2"/>
        <v>67.551999999999992</v>
      </c>
      <c r="U32" s="3">
        <f t="shared" si="3"/>
        <v>2533.3417999999992</v>
      </c>
      <c r="W32" s="89"/>
    </row>
    <row r="33" spans="1:23" s="4" customFormat="1" ht="38.25" customHeight="1">
      <c r="A33" s="34"/>
      <c r="B33" s="37" t="s">
        <v>39</v>
      </c>
      <c r="C33" s="5">
        <f>'April 2023'!H33</f>
        <v>15788.215799999998</v>
      </c>
      <c r="D33" s="5">
        <f t="shared" ref="D33:U33" si="10">SUM(D29:D32)</f>
        <v>7.3879999999999999</v>
      </c>
      <c r="E33" s="5">
        <f t="shared" si="10"/>
        <v>145.62799999999999</v>
      </c>
      <c r="F33" s="5">
        <f t="shared" si="10"/>
        <v>0</v>
      </c>
      <c r="G33" s="5">
        <f t="shared" si="10"/>
        <v>9.73</v>
      </c>
      <c r="H33" s="5">
        <f t="shared" si="10"/>
        <v>15795.603800000001</v>
      </c>
      <c r="I33" s="5">
        <f>'April 2023'!N33</f>
        <v>522.80600000000004</v>
      </c>
      <c r="J33" s="5">
        <f t="shared" si="10"/>
        <v>1.74</v>
      </c>
      <c r="K33" s="5">
        <f t="shared" si="10"/>
        <v>3.5630000000000002</v>
      </c>
      <c r="L33" s="5">
        <f t="shared" si="10"/>
        <v>0</v>
      </c>
      <c r="M33" s="5">
        <f t="shared" si="10"/>
        <v>0</v>
      </c>
      <c r="N33" s="5">
        <f t="shared" si="10"/>
        <v>524.54600000000005</v>
      </c>
      <c r="O33" s="5">
        <f>'April 2023'!T33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16460.321800000002</v>
      </c>
    </row>
    <row r="34" spans="1:23" ht="38.25" customHeight="1">
      <c r="A34" s="35">
        <v>21</v>
      </c>
      <c r="B34" s="38" t="s">
        <v>40</v>
      </c>
      <c r="C34" s="3">
        <f>'April 2023'!H34</f>
        <v>4755.9799999999996</v>
      </c>
      <c r="D34" s="3">
        <f>7.64+159.25</f>
        <v>166.89</v>
      </c>
      <c r="E34" s="3">
        <f>'April 2023'!E34+'May 23'!D34</f>
        <v>336.12</v>
      </c>
      <c r="F34" s="3">
        <v>0</v>
      </c>
      <c r="G34" s="3">
        <f>'April 2023'!G34+'May 23'!F34</f>
        <v>0</v>
      </c>
      <c r="H34" s="3">
        <f t="shared" si="0"/>
        <v>4922.87</v>
      </c>
      <c r="I34" s="3">
        <f>'April 2023'!N34</f>
        <v>108.16999999999999</v>
      </c>
      <c r="J34" s="3">
        <v>0</v>
      </c>
      <c r="K34" s="3">
        <f>'April 2023'!K34+'May 23'!J34</f>
        <v>0.09</v>
      </c>
      <c r="L34" s="3">
        <v>0</v>
      </c>
      <c r="M34" s="3">
        <f>'April 2023'!M34+'May 23'!L34</f>
        <v>0</v>
      </c>
      <c r="N34" s="3">
        <f t="shared" si="1"/>
        <v>108.16999999999999</v>
      </c>
      <c r="O34" s="3">
        <f>'April 2023'!T34</f>
        <v>72.7</v>
      </c>
      <c r="P34" s="3">
        <v>0</v>
      </c>
      <c r="Q34" s="3">
        <f>'April 2023'!Q34+'May 23'!P34</f>
        <v>0</v>
      </c>
      <c r="R34" s="3">
        <v>0</v>
      </c>
      <c r="S34" s="3">
        <f>'April 2023'!S34+'May 23'!R34</f>
        <v>0</v>
      </c>
      <c r="T34" s="3">
        <f t="shared" si="2"/>
        <v>72.7</v>
      </c>
      <c r="U34" s="3">
        <f t="shared" si="3"/>
        <v>5103.74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'April 2023'!H35</f>
        <v>6714.1199999999981</v>
      </c>
      <c r="D35" s="3">
        <f>6.51+14.73+9</f>
        <v>30.240000000000002</v>
      </c>
      <c r="E35" s="3">
        <f>'April 2023'!E35+'May 23'!D35</f>
        <v>60.74</v>
      </c>
      <c r="F35" s="3">
        <v>0</v>
      </c>
      <c r="G35" s="3">
        <f>'April 2023'!G35+'May 23'!F35</f>
        <v>0</v>
      </c>
      <c r="H35" s="3">
        <f t="shared" si="0"/>
        <v>6744.3599999999979</v>
      </c>
      <c r="I35" s="3">
        <f>'April 2023'!N35</f>
        <v>34.17</v>
      </c>
      <c r="J35" s="3">
        <v>0</v>
      </c>
      <c r="K35" s="3">
        <f>'April 2023'!K35+'May 23'!J35</f>
        <v>0.04</v>
      </c>
      <c r="L35" s="3">
        <v>0</v>
      </c>
      <c r="M35" s="3">
        <f>'April 2023'!M35+'May 23'!L35</f>
        <v>0</v>
      </c>
      <c r="N35" s="3">
        <f t="shared" si="1"/>
        <v>34.17</v>
      </c>
      <c r="O35" s="3">
        <f>'April 2023'!T35</f>
        <v>90.800000000000011</v>
      </c>
      <c r="P35" s="3">
        <v>0</v>
      </c>
      <c r="Q35" s="3">
        <f>'April 2023'!Q35+'May 23'!P35</f>
        <v>0</v>
      </c>
      <c r="R35" s="3">
        <v>0</v>
      </c>
      <c r="S35" s="3">
        <f>'April 2023'!S35+'May 23'!R35</f>
        <v>0</v>
      </c>
      <c r="T35" s="3">
        <f t="shared" si="2"/>
        <v>90.800000000000011</v>
      </c>
      <c r="U35" s="3">
        <f t="shared" si="3"/>
        <v>6869.3299999999981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'April 2023'!H36</f>
        <v>4189.84</v>
      </c>
      <c r="D36" s="3">
        <f>0.69+489.65</f>
        <v>490.34</v>
      </c>
      <c r="E36" s="3">
        <f>'April 2023'!E36+'May 23'!D36</f>
        <v>982.52</v>
      </c>
      <c r="F36" s="3">
        <v>0</v>
      </c>
      <c r="G36" s="3">
        <f>'April 2023'!G36+'May 23'!F36</f>
        <v>0</v>
      </c>
      <c r="H36" s="3">
        <f t="shared" si="0"/>
        <v>4680.18</v>
      </c>
      <c r="I36" s="3">
        <f>'April 2023'!N36</f>
        <v>30.250000000000039</v>
      </c>
      <c r="J36" s="3">
        <v>0</v>
      </c>
      <c r="K36" s="3">
        <f>'April 2023'!K36+'May 23'!J36</f>
        <v>0</v>
      </c>
      <c r="L36" s="3">
        <v>0</v>
      </c>
      <c r="M36" s="3">
        <f>'April 2023'!M36+'May 23'!L36</f>
        <v>0</v>
      </c>
      <c r="N36" s="3">
        <f t="shared" si="1"/>
        <v>30.250000000000039</v>
      </c>
      <c r="O36" s="3">
        <f>'April 2023'!T36</f>
        <v>36.379999999999995</v>
      </c>
      <c r="P36" s="3">
        <v>0</v>
      </c>
      <c r="Q36" s="3">
        <f>'April 2023'!Q36+'May 23'!P36</f>
        <v>0</v>
      </c>
      <c r="R36" s="3">
        <v>0</v>
      </c>
      <c r="S36" s="3">
        <f>'April 2023'!S36+'May 23'!R36</f>
        <v>0</v>
      </c>
      <c r="T36" s="3">
        <f t="shared" si="2"/>
        <v>36.379999999999995</v>
      </c>
      <c r="U36" s="3">
        <f t="shared" si="3"/>
        <v>4746.8100000000004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'April 2023'!H37</f>
        <v>5100.0499999999984</v>
      </c>
      <c r="D37" s="3">
        <f>4.18+12.65</f>
        <v>16.829999999999998</v>
      </c>
      <c r="E37" s="3">
        <f>'April 2023'!E37+'May 23'!D37</f>
        <v>22.369999999999997</v>
      </c>
      <c r="F37" s="3">
        <v>0</v>
      </c>
      <c r="G37" s="3">
        <f>'April 2023'!G37+'May 23'!F37</f>
        <v>0</v>
      </c>
      <c r="H37" s="3">
        <f t="shared" si="0"/>
        <v>5116.8799999999983</v>
      </c>
      <c r="I37" s="3">
        <f>'April 2023'!N37</f>
        <v>26.700000000000003</v>
      </c>
      <c r="J37" s="3">
        <v>0</v>
      </c>
      <c r="K37" s="3">
        <f>'April 2023'!K37+'May 23'!J37</f>
        <v>0</v>
      </c>
      <c r="L37" s="3">
        <v>0</v>
      </c>
      <c r="M37" s="3">
        <f>'April 2023'!M37+'May 23'!L37</f>
        <v>0</v>
      </c>
      <c r="N37" s="3">
        <f t="shared" si="1"/>
        <v>26.700000000000003</v>
      </c>
      <c r="O37" s="3">
        <f>'April 2023'!T37</f>
        <v>3.0599999999999996</v>
      </c>
      <c r="P37" s="3">
        <v>0</v>
      </c>
      <c r="Q37" s="3">
        <f>'April 2023'!Q37+'May 23'!P37</f>
        <v>0</v>
      </c>
      <c r="R37" s="3">
        <v>0</v>
      </c>
      <c r="S37" s="3">
        <f>'April 2023'!S37+'May 23'!R37</f>
        <v>0</v>
      </c>
      <c r="T37" s="3">
        <f t="shared" si="2"/>
        <v>3.0599999999999996</v>
      </c>
      <c r="U37" s="3">
        <f t="shared" si="3"/>
        <v>5146.6399999999985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'April 2023'!H38</f>
        <v>20759.989999999998</v>
      </c>
      <c r="D38" s="5">
        <f t="shared" ref="D38:U38" si="11">SUM(D34:D37)</f>
        <v>704.30000000000007</v>
      </c>
      <c r="E38" s="5">
        <f t="shared" si="11"/>
        <v>1401.75</v>
      </c>
      <c r="F38" s="5">
        <f t="shared" si="11"/>
        <v>0</v>
      </c>
      <c r="G38" s="5">
        <f t="shared" si="11"/>
        <v>0</v>
      </c>
      <c r="H38" s="5">
        <f t="shared" si="11"/>
        <v>21464.289999999997</v>
      </c>
      <c r="I38" s="5">
        <f>'April 2023'!N38</f>
        <v>199.29000000000002</v>
      </c>
      <c r="J38" s="5">
        <f t="shared" si="11"/>
        <v>0</v>
      </c>
      <c r="K38" s="5">
        <f t="shared" si="11"/>
        <v>0.13</v>
      </c>
      <c r="L38" s="5">
        <f t="shared" si="11"/>
        <v>0</v>
      </c>
      <c r="M38" s="5">
        <f t="shared" si="11"/>
        <v>0</v>
      </c>
      <c r="N38" s="5">
        <f t="shared" si="11"/>
        <v>199.29000000000002</v>
      </c>
      <c r="O38" s="5">
        <f>'April 2023'!T38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21866.519999999997</v>
      </c>
    </row>
    <row r="39" spans="1:23" s="4" customFormat="1" ht="38.25" customHeight="1">
      <c r="A39" s="34"/>
      <c r="B39" s="37" t="s">
        <v>45</v>
      </c>
      <c r="C39" s="5">
        <f>'April 2023'!H39</f>
        <v>43875.090799999998</v>
      </c>
      <c r="D39" s="5">
        <f t="shared" ref="D39:U39" si="12">D38+D33+D28</f>
        <v>727.3180000000001</v>
      </c>
      <c r="E39" s="5">
        <f t="shared" si="12"/>
        <v>1576.2479999999998</v>
      </c>
      <c r="F39" s="5">
        <f t="shared" si="12"/>
        <v>0</v>
      </c>
      <c r="G39" s="5">
        <f t="shared" si="12"/>
        <v>9.75</v>
      </c>
      <c r="H39" s="5">
        <f t="shared" si="12"/>
        <v>44602.408800000005</v>
      </c>
      <c r="I39" s="5">
        <f>'April 2023'!N39</f>
        <v>1479.0039999999999</v>
      </c>
      <c r="J39" s="5">
        <f t="shared" si="12"/>
        <v>2.81</v>
      </c>
      <c r="K39" s="5">
        <f t="shared" si="12"/>
        <v>5.9630000000000001</v>
      </c>
      <c r="L39" s="5">
        <f t="shared" si="12"/>
        <v>0</v>
      </c>
      <c r="M39" s="5">
        <f t="shared" si="12"/>
        <v>0.02</v>
      </c>
      <c r="N39" s="5">
        <f t="shared" si="12"/>
        <v>1481.8139999999999</v>
      </c>
      <c r="O39" s="5">
        <f>'April 2023'!T39</f>
        <v>393.28199999999998</v>
      </c>
      <c r="P39" s="5">
        <f t="shared" si="12"/>
        <v>0.12</v>
      </c>
      <c r="Q39" s="5">
        <f t="shared" si="12"/>
        <v>0.12</v>
      </c>
      <c r="R39" s="5">
        <f t="shared" si="12"/>
        <v>0</v>
      </c>
      <c r="S39" s="5">
        <f t="shared" si="12"/>
        <v>0</v>
      </c>
      <c r="T39" s="5">
        <f t="shared" si="12"/>
        <v>393.40199999999999</v>
      </c>
      <c r="U39" s="5">
        <f t="shared" si="12"/>
        <v>46477.624799999998</v>
      </c>
    </row>
    <row r="40" spans="1:23" ht="38.25" customHeight="1">
      <c r="A40" s="35">
        <v>25</v>
      </c>
      <c r="B40" s="38" t="s">
        <v>46</v>
      </c>
      <c r="C40" s="3">
        <f>'April 2023'!H40</f>
        <v>12099.083999999997</v>
      </c>
      <c r="D40" s="3">
        <f>10.8+232.46</f>
        <v>243.26000000000002</v>
      </c>
      <c r="E40" s="3">
        <f>'April 2023'!E40+'May 23'!D40</f>
        <v>484.72</v>
      </c>
      <c r="F40" s="3">
        <v>0</v>
      </c>
      <c r="G40" s="3">
        <f>'April 2023'!G40+'May 23'!F40</f>
        <v>0</v>
      </c>
      <c r="H40" s="3">
        <f t="shared" si="0"/>
        <v>12342.343999999997</v>
      </c>
      <c r="I40" s="3">
        <f>'April 2023'!N40</f>
        <v>198.73</v>
      </c>
      <c r="J40" s="3">
        <v>0</v>
      </c>
      <c r="K40" s="3">
        <f>'April 2023'!K40+'May 23'!J40</f>
        <v>0</v>
      </c>
      <c r="L40" s="3">
        <v>0</v>
      </c>
      <c r="M40" s="3">
        <f>'April 2023'!M40+'May 23'!L40</f>
        <v>0</v>
      </c>
      <c r="N40" s="3">
        <f t="shared" si="1"/>
        <v>198.73</v>
      </c>
      <c r="O40" s="3">
        <f>'April 2023'!T40</f>
        <v>106.93</v>
      </c>
      <c r="P40" s="3">
        <v>0</v>
      </c>
      <c r="Q40" s="3">
        <f>'April 2023'!Q40+'May 23'!P40</f>
        <v>0</v>
      </c>
      <c r="R40" s="3">
        <v>0</v>
      </c>
      <c r="S40" s="3">
        <f>'April 2023'!S40+'May 23'!R40</f>
        <v>0</v>
      </c>
      <c r="T40" s="3">
        <f t="shared" si="2"/>
        <v>106.93</v>
      </c>
      <c r="U40" s="3">
        <f t="shared" si="3"/>
        <v>12648.003999999997</v>
      </c>
    </row>
    <row r="41" spans="1:23" ht="38.25" customHeight="1">
      <c r="A41" s="35">
        <v>26</v>
      </c>
      <c r="B41" s="38" t="s">
        <v>47</v>
      </c>
      <c r="C41" s="3">
        <f>'April 2023'!H41</f>
        <v>8491.2489999999943</v>
      </c>
      <c r="D41" s="3">
        <f>8.37+53.22+43.81</f>
        <v>105.4</v>
      </c>
      <c r="E41" s="3">
        <f>'April 2023'!E41+'May 23'!D41</f>
        <v>149.25</v>
      </c>
      <c r="F41" s="3">
        <v>0</v>
      </c>
      <c r="G41" s="3">
        <f>'April 2023'!G41+'May 23'!F41</f>
        <v>0</v>
      </c>
      <c r="H41" s="3">
        <f t="shared" si="0"/>
        <v>8596.648999999994</v>
      </c>
      <c r="I41" s="3">
        <f>'April 2023'!N41</f>
        <v>8.67</v>
      </c>
      <c r="J41" s="3">
        <v>0</v>
      </c>
      <c r="K41" s="3">
        <f>'April 2023'!K41+'May 23'!J41</f>
        <v>0</v>
      </c>
      <c r="L41" s="3">
        <v>0</v>
      </c>
      <c r="M41" s="3">
        <f>'April 2023'!M41+'May 23'!L41</f>
        <v>0</v>
      </c>
      <c r="N41" s="3">
        <f t="shared" si="1"/>
        <v>8.67</v>
      </c>
      <c r="O41" s="3">
        <f>'April 2023'!T41</f>
        <v>141.29000000000002</v>
      </c>
      <c r="P41" s="3">
        <v>0</v>
      </c>
      <c r="Q41" s="3">
        <f>'April 2023'!Q41+'May 23'!P41</f>
        <v>0</v>
      </c>
      <c r="R41" s="3">
        <v>0</v>
      </c>
      <c r="S41" s="3">
        <f>'April 2023'!S41+'May 23'!R41</f>
        <v>0</v>
      </c>
      <c r="T41" s="3">
        <f t="shared" si="2"/>
        <v>141.29000000000002</v>
      </c>
      <c r="U41" s="3">
        <f t="shared" si="3"/>
        <v>8746.6089999999949</v>
      </c>
    </row>
    <row r="42" spans="1:23" s="4" customFormat="1" ht="38.25" customHeight="1">
      <c r="A42" s="35">
        <v>27</v>
      </c>
      <c r="B42" s="38" t="s">
        <v>48</v>
      </c>
      <c r="C42" s="3">
        <f>'April 2023'!H42</f>
        <v>14228.812999999995</v>
      </c>
      <c r="D42" s="3">
        <f>31.43+266.11</f>
        <v>297.54000000000002</v>
      </c>
      <c r="E42" s="3">
        <f>'April 2023'!E42+'May 23'!D42</f>
        <v>572.68000000000006</v>
      </c>
      <c r="F42" s="3">
        <v>0</v>
      </c>
      <c r="G42" s="3">
        <f>'April 2023'!G42+'May 23'!F42</f>
        <v>0</v>
      </c>
      <c r="H42" s="3">
        <f t="shared" si="0"/>
        <v>14526.352999999996</v>
      </c>
      <c r="I42" s="3">
        <f>'April 2023'!N42</f>
        <v>15.62</v>
      </c>
      <c r="J42" s="3">
        <v>0</v>
      </c>
      <c r="K42" s="3">
        <f>'April 2023'!K42+'May 23'!J42</f>
        <v>0</v>
      </c>
      <c r="L42" s="3">
        <v>0</v>
      </c>
      <c r="M42" s="3">
        <f>'April 2023'!M42+'May 23'!L42</f>
        <v>0</v>
      </c>
      <c r="N42" s="3">
        <f t="shared" si="1"/>
        <v>15.62</v>
      </c>
      <c r="O42" s="3">
        <f>'April 2023'!T42</f>
        <v>205.35</v>
      </c>
      <c r="P42" s="3">
        <v>0</v>
      </c>
      <c r="Q42" s="3">
        <f>'April 2023'!Q42+'May 23'!P42</f>
        <v>0</v>
      </c>
      <c r="R42" s="3">
        <v>0</v>
      </c>
      <c r="S42" s="3">
        <f>'April 2023'!S42+'May 23'!R42</f>
        <v>0</v>
      </c>
      <c r="T42" s="3">
        <f t="shared" si="2"/>
        <v>205.35</v>
      </c>
      <c r="U42" s="3">
        <f t="shared" si="3"/>
        <v>14747.322999999997</v>
      </c>
    </row>
    <row r="43" spans="1:23" ht="38.25" customHeight="1">
      <c r="A43" s="35">
        <v>28</v>
      </c>
      <c r="B43" s="38" t="s">
        <v>49</v>
      </c>
      <c r="C43" s="3">
        <f>'April 2023'!H43</f>
        <v>4255.2900000000009</v>
      </c>
      <c r="D43" s="3">
        <f>12.1+49.67+39.35</f>
        <v>101.12</v>
      </c>
      <c r="E43" s="3">
        <f>'April 2023'!E43+'May 23'!D43</f>
        <v>154.44999999999999</v>
      </c>
      <c r="F43" s="3">
        <v>0</v>
      </c>
      <c r="G43" s="3">
        <f>'April 2023'!G43+'May 23'!F43</f>
        <v>0</v>
      </c>
      <c r="H43" s="3">
        <f t="shared" si="0"/>
        <v>4356.4100000000008</v>
      </c>
      <c r="I43" s="3">
        <f>'April 2023'!N43</f>
        <v>3.5</v>
      </c>
      <c r="J43" s="3">
        <v>0</v>
      </c>
      <c r="K43" s="3">
        <f>'April 2023'!K43+'May 23'!J43</f>
        <v>0</v>
      </c>
      <c r="L43" s="3">
        <v>0</v>
      </c>
      <c r="M43" s="3">
        <f>'April 2023'!M43+'May 23'!L43</f>
        <v>0</v>
      </c>
      <c r="N43" s="3">
        <f t="shared" si="1"/>
        <v>3.5</v>
      </c>
      <c r="O43" s="3">
        <f>'April 2023'!T43</f>
        <v>29.8</v>
      </c>
      <c r="P43" s="3">
        <v>0</v>
      </c>
      <c r="Q43" s="3">
        <f>'April 2023'!Q43+'May 23'!P43</f>
        <v>0</v>
      </c>
      <c r="R43" s="3">
        <v>0</v>
      </c>
      <c r="S43" s="3">
        <f>'April 2023'!S43+'May 23'!R43</f>
        <v>0</v>
      </c>
      <c r="T43" s="3">
        <f t="shared" si="2"/>
        <v>29.8</v>
      </c>
      <c r="U43" s="3">
        <f t="shared" si="3"/>
        <v>4389.7100000000009</v>
      </c>
    </row>
    <row r="44" spans="1:23" s="4" customFormat="1" ht="38.25" customHeight="1">
      <c r="A44" s="34"/>
      <c r="B44" s="37" t="s">
        <v>50</v>
      </c>
      <c r="C44" s="5">
        <f>'April 2023'!H44</f>
        <v>39074.435999999987</v>
      </c>
      <c r="D44" s="5">
        <f t="shared" ref="D44:U44" si="13">SUM(D40:D43)</f>
        <v>747.32</v>
      </c>
      <c r="E44" s="5">
        <f t="shared" si="13"/>
        <v>1361.1000000000001</v>
      </c>
      <c r="F44" s="5">
        <f t="shared" si="13"/>
        <v>0</v>
      </c>
      <c r="G44" s="5">
        <f t="shared" si="13"/>
        <v>0</v>
      </c>
      <c r="H44" s="5">
        <f t="shared" si="13"/>
        <v>39821.755999999994</v>
      </c>
      <c r="I44" s="5">
        <f>'April 2023'!N44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'April 2023'!T44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40531.645999999986</v>
      </c>
    </row>
    <row r="45" spans="1:23" ht="38.25" customHeight="1">
      <c r="A45" s="35">
        <v>29</v>
      </c>
      <c r="B45" s="38" t="s">
        <v>51</v>
      </c>
      <c r="C45" s="3">
        <f>'April 2023'!H45</f>
        <v>8395.8620999999985</v>
      </c>
      <c r="D45" s="3">
        <v>26.59</v>
      </c>
      <c r="E45" s="3">
        <f>'April 2023'!E45+'May 23'!D45</f>
        <v>58.64</v>
      </c>
      <c r="F45" s="3">
        <v>0</v>
      </c>
      <c r="G45" s="3">
        <f>'April 2023'!G45+'May 23'!F45</f>
        <v>0</v>
      </c>
      <c r="H45" s="3">
        <f t="shared" si="0"/>
        <v>8422.4520999999986</v>
      </c>
      <c r="I45" s="3">
        <f>'April 2023'!N45</f>
        <v>261.04999999999995</v>
      </c>
      <c r="J45" s="3">
        <v>0.02</v>
      </c>
      <c r="K45" s="3">
        <f>'April 2023'!K45+'May 23'!J45</f>
        <v>0.02</v>
      </c>
      <c r="L45" s="3">
        <v>0</v>
      </c>
      <c r="M45" s="3">
        <f>'April 2023'!M45+'May 23'!L45</f>
        <v>0</v>
      </c>
      <c r="N45" s="3">
        <f t="shared" si="1"/>
        <v>261.06999999999994</v>
      </c>
      <c r="O45" s="3">
        <f>'April 2023'!T45</f>
        <v>84.45</v>
      </c>
      <c r="P45" s="3">
        <v>0</v>
      </c>
      <c r="Q45" s="3">
        <f>'April 2023'!Q45+'May 23'!P45</f>
        <v>0.06</v>
      </c>
      <c r="R45" s="3">
        <v>0</v>
      </c>
      <c r="S45" s="3">
        <f>'April 2023'!S45+'May 23'!R45</f>
        <v>0</v>
      </c>
      <c r="T45" s="3">
        <f t="shared" si="2"/>
        <v>84.45</v>
      </c>
      <c r="U45" s="3">
        <f t="shared" si="3"/>
        <v>8767.972099999999</v>
      </c>
    </row>
    <row r="46" spans="1:23" ht="38.25" customHeight="1">
      <c r="A46" s="35">
        <v>30</v>
      </c>
      <c r="B46" s="38" t="s">
        <v>52</v>
      </c>
      <c r="C46" s="3">
        <f>'April 2023'!H46</f>
        <v>7998.8950000000013</v>
      </c>
      <c r="D46" s="3">
        <v>13.96</v>
      </c>
      <c r="E46" s="3">
        <f>'April 2023'!E46+'May 23'!D46</f>
        <v>65.62</v>
      </c>
      <c r="F46" s="3">
        <v>0</v>
      </c>
      <c r="G46" s="3">
        <f>'April 2023'!G46+'May 23'!F46</f>
        <v>0</v>
      </c>
      <c r="H46" s="3">
        <f t="shared" si="0"/>
        <v>8012.8550000000014</v>
      </c>
      <c r="I46" s="3">
        <f>'April 2023'!N46</f>
        <v>0</v>
      </c>
      <c r="J46" s="3">
        <v>0</v>
      </c>
      <c r="K46" s="3">
        <f>'April 2023'!K46+'May 23'!J46</f>
        <v>0</v>
      </c>
      <c r="L46" s="3">
        <v>0</v>
      </c>
      <c r="M46" s="3">
        <f>'April 2023'!M46+'May 23'!L46</f>
        <v>0</v>
      </c>
      <c r="N46" s="3">
        <f t="shared" si="1"/>
        <v>0</v>
      </c>
      <c r="O46" s="3">
        <f>'April 2023'!T46</f>
        <v>47.03</v>
      </c>
      <c r="P46" s="3">
        <v>0</v>
      </c>
      <c r="Q46" s="3">
        <f>'April 2023'!Q46+'May 23'!P46</f>
        <v>0</v>
      </c>
      <c r="R46" s="3">
        <v>0</v>
      </c>
      <c r="S46" s="3">
        <f>'April 2023'!S46+'May 23'!R46</f>
        <v>0</v>
      </c>
      <c r="T46" s="3">
        <f t="shared" si="2"/>
        <v>47.03</v>
      </c>
      <c r="U46" s="3">
        <f t="shared" si="3"/>
        <v>8059.8850000000011</v>
      </c>
    </row>
    <row r="47" spans="1:23" s="4" customFormat="1" ht="38.25" customHeight="1">
      <c r="A47" s="35">
        <v>31</v>
      </c>
      <c r="B47" s="38" t="s">
        <v>53</v>
      </c>
      <c r="C47" s="3">
        <f>'April 2023'!H47</f>
        <v>9324.2599999999966</v>
      </c>
      <c r="D47" s="3">
        <v>3.88</v>
      </c>
      <c r="E47" s="3">
        <f>'April 2023'!E47+'May 23'!D47</f>
        <v>250.44</v>
      </c>
      <c r="F47" s="3">
        <v>0</v>
      </c>
      <c r="G47" s="3">
        <f>'April 2023'!G47+'May 23'!F47</f>
        <v>0</v>
      </c>
      <c r="H47" s="3">
        <f t="shared" si="0"/>
        <v>9328.1399999999958</v>
      </c>
      <c r="I47" s="3">
        <f>'April 2023'!N47</f>
        <v>3.13</v>
      </c>
      <c r="J47" s="3">
        <v>0</v>
      </c>
      <c r="K47" s="3">
        <f>'April 2023'!K47+'May 23'!J47</f>
        <v>0</v>
      </c>
      <c r="L47" s="3">
        <v>0</v>
      </c>
      <c r="M47" s="3">
        <f>'April 2023'!M47+'May 23'!L47</f>
        <v>0</v>
      </c>
      <c r="N47" s="3">
        <f t="shared" si="1"/>
        <v>3.13</v>
      </c>
      <c r="O47" s="3">
        <f>'April 2023'!T47</f>
        <v>118.94999999999999</v>
      </c>
      <c r="P47" s="3">
        <v>0</v>
      </c>
      <c r="Q47" s="3">
        <f>'April 2023'!Q47+'May 23'!P47</f>
        <v>0</v>
      </c>
      <c r="R47" s="3">
        <v>0</v>
      </c>
      <c r="S47" s="3">
        <f>'April 2023'!S47+'May 23'!R47</f>
        <v>0</v>
      </c>
      <c r="T47" s="3">
        <f t="shared" si="2"/>
        <v>118.94999999999999</v>
      </c>
      <c r="U47" s="3">
        <f t="shared" si="3"/>
        <v>9450.2199999999957</v>
      </c>
    </row>
    <row r="48" spans="1:23" s="4" customFormat="1" ht="38.25" customHeight="1">
      <c r="A48" s="35">
        <v>32</v>
      </c>
      <c r="B48" s="38" t="s">
        <v>54</v>
      </c>
      <c r="C48" s="3">
        <f>'April 2023'!H48</f>
        <v>8638.1289999999972</v>
      </c>
      <c r="D48" s="3">
        <v>3.7</v>
      </c>
      <c r="E48" s="3">
        <f>'April 2023'!E48+'May 23'!D48</f>
        <v>35.880000000000003</v>
      </c>
      <c r="F48" s="3">
        <v>0</v>
      </c>
      <c r="G48" s="3">
        <f>'April 2023'!G48+'May 23'!F48</f>
        <v>0</v>
      </c>
      <c r="H48" s="3">
        <f t="shared" si="0"/>
        <v>8641.8289999999979</v>
      </c>
      <c r="I48" s="3">
        <f>'April 2023'!N48</f>
        <v>5.0249999999999995</v>
      </c>
      <c r="J48" s="3">
        <v>0</v>
      </c>
      <c r="K48" s="3">
        <f>'April 2023'!K48+'May 23'!J48</f>
        <v>0</v>
      </c>
      <c r="L48" s="3">
        <v>0</v>
      </c>
      <c r="M48" s="3">
        <f>'April 2023'!M48+'May 23'!L48</f>
        <v>0</v>
      </c>
      <c r="N48" s="3">
        <f t="shared" si="1"/>
        <v>5.0249999999999995</v>
      </c>
      <c r="O48" s="3">
        <f>'April 2023'!T48</f>
        <v>4.21</v>
      </c>
      <c r="P48" s="3">
        <v>0</v>
      </c>
      <c r="Q48" s="3">
        <f>'April 2023'!Q48+'May 23'!P48</f>
        <v>0</v>
      </c>
      <c r="R48" s="3">
        <v>0</v>
      </c>
      <c r="S48" s="3">
        <f>'April 2023'!S48+'May 23'!R48</f>
        <v>0</v>
      </c>
      <c r="T48" s="3">
        <f t="shared" si="2"/>
        <v>4.21</v>
      </c>
      <c r="U48" s="3">
        <f t="shared" si="3"/>
        <v>8651.0639999999967</v>
      </c>
    </row>
    <row r="49" spans="1:24" s="4" customFormat="1" ht="38.25" customHeight="1">
      <c r="A49" s="34"/>
      <c r="B49" s="37" t="s">
        <v>55</v>
      </c>
      <c r="C49" s="5">
        <f>'April 2023'!H49</f>
        <v>34357.146099999998</v>
      </c>
      <c r="D49" s="5">
        <f t="shared" ref="D49:U49" si="14">SUM(D45:D48)</f>
        <v>48.13</v>
      </c>
      <c r="E49" s="5">
        <f t="shared" si="14"/>
        <v>410.58</v>
      </c>
      <c r="F49" s="5">
        <f t="shared" si="14"/>
        <v>0</v>
      </c>
      <c r="G49" s="5">
        <f t="shared" si="14"/>
        <v>0</v>
      </c>
      <c r="H49" s="5">
        <f t="shared" si="14"/>
        <v>34405.276099999988</v>
      </c>
      <c r="I49" s="5">
        <f>'April 2023'!N49</f>
        <v>269.20499999999993</v>
      </c>
      <c r="J49" s="5">
        <f t="shared" si="14"/>
        <v>0.02</v>
      </c>
      <c r="K49" s="5">
        <f t="shared" si="14"/>
        <v>0.02</v>
      </c>
      <c r="L49" s="5">
        <f t="shared" si="14"/>
        <v>0</v>
      </c>
      <c r="M49" s="5">
        <f t="shared" si="14"/>
        <v>0</v>
      </c>
      <c r="N49" s="5">
        <f t="shared" si="14"/>
        <v>269.22499999999991</v>
      </c>
      <c r="O49" s="5">
        <f>'April 2023'!T49</f>
        <v>254.64000000000001</v>
      </c>
      <c r="P49" s="5">
        <f t="shared" si="14"/>
        <v>0</v>
      </c>
      <c r="Q49" s="5">
        <f t="shared" si="14"/>
        <v>0.06</v>
      </c>
      <c r="R49" s="5">
        <f t="shared" si="14"/>
        <v>0</v>
      </c>
      <c r="S49" s="5">
        <f t="shared" si="14"/>
        <v>0</v>
      </c>
      <c r="T49" s="5">
        <f t="shared" si="14"/>
        <v>254.64000000000001</v>
      </c>
      <c r="U49" s="5">
        <f t="shared" si="14"/>
        <v>34929.141099999993</v>
      </c>
    </row>
    <row r="50" spans="1:24" s="4" customFormat="1" ht="38.25" customHeight="1">
      <c r="A50" s="34"/>
      <c r="B50" s="37" t="s">
        <v>56</v>
      </c>
      <c r="C50" s="5">
        <f>'April 2023'!H50</f>
        <v>73431.582099999985</v>
      </c>
      <c r="D50" s="5">
        <f t="shared" ref="D50:U50" si="15">D49+D44</f>
        <v>795.45</v>
      </c>
      <c r="E50" s="5">
        <f t="shared" si="15"/>
        <v>1771.68</v>
      </c>
      <c r="F50" s="5">
        <f t="shared" si="15"/>
        <v>0</v>
      </c>
      <c r="G50" s="5">
        <f t="shared" si="15"/>
        <v>0</v>
      </c>
      <c r="H50" s="5">
        <f t="shared" si="15"/>
        <v>74227.032099999982</v>
      </c>
      <c r="I50" s="5">
        <f>'April 2023'!N50</f>
        <v>495.72499999999991</v>
      </c>
      <c r="J50" s="5">
        <f t="shared" si="15"/>
        <v>0.02</v>
      </c>
      <c r="K50" s="5">
        <f t="shared" si="15"/>
        <v>0.02</v>
      </c>
      <c r="L50" s="5">
        <f t="shared" si="15"/>
        <v>0</v>
      </c>
      <c r="M50" s="5">
        <f t="shared" si="15"/>
        <v>0</v>
      </c>
      <c r="N50" s="5">
        <f t="shared" si="15"/>
        <v>495.74499999999989</v>
      </c>
      <c r="O50" s="5">
        <f>'April 2023'!T50</f>
        <v>738.0100000000001</v>
      </c>
      <c r="P50" s="5">
        <f t="shared" si="15"/>
        <v>0</v>
      </c>
      <c r="Q50" s="5">
        <f t="shared" si="15"/>
        <v>0.06</v>
      </c>
      <c r="R50" s="5">
        <f t="shared" si="15"/>
        <v>0</v>
      </c>
      <c r="S50" s="5">
        <f t="shared" si="15"/>
        <v>0</v>
      </c>
      <c r="T50" s="5">
        <f t="shared" si="15"/>
        <v>738.0100000000001</v>
      </c>
      <c r="U50" s="5">
        <f t="shared" si="15"/>
        <v>75460.787099999987</v>
      </c>
    </row>
    <row r="51" spans="1:24" s="4" customFormat="1" ht="38.25" customHeight="1">
      <c r="A51" s="34"/>
      <c r="B51" s="37" t="s">
        <v>57</v>
      </c>
      <c r="C51" s="5">
        <f>'April 2023'!H51</f>
        <v>121247.71889999998</v>
      </c>
      <c r="D51" s="5">
        <f t="shared" ref="D51:U51" si="16">D50+D39+D25</f>
        <v>1524.6680000000001</v>
      </c>
      <c r="E51" s="5">
        <f t="shared" si="16"/>
        <v>3350.2979999999998</v>
      </c>
      <c r="F51" s="5">
        <f t="shared" si="16"/>
        <v>0</v>
      </c>
      <c r="G51" s="5">
        <f t="shared" si="16"/>
        <v>14.030000000000001</v>
      </c>
      <c r="H51" s="26">
        <f t="shared" si="16"/>
        <v>122772.38689999998</v>
      </c>
      <c r="I51" s="5">
        <f>'April 2023'!N51</f>
        <v>10950.99</v>
      </c>
      <c r="J51" s="5">
        <f t="shared" si="16"/>
        <v>56.472000000000008</v>
      </c>
      <c r="K51" s="5">
        <f t="shared" si="16"/>
        <v>98.63600000000001</v>
      </c>
      <c r="L51" s="5">
        <f t="shared" si="16"/>
        <v>0.43</v>
      </c>
      <c r="M51" s="5">
        <f t="shared" si="16"/>
        <v>0.49</v>
      </c>
      <c r="N51" s="26">
        <f t="shared" si="16"/>
        <v>11007.032000000001</v>
      </c>
      <c r="O51" s="5">
        <f>'April 2023'!T51</f>
        <v>1677.3300000000002</v>
      </c>
      <c r="P51" s="5">
        <f t="shared" si="16"/>
        <v>1.3900000000000001</v>
      </c>
      <c r="Q51" s="5">
        <f t="shared" si="16"/>
        <v>1.48</v>
      </c>
      <c r="R51" s="5">
        <f t="shared" si="16"/>
        <v>0.45999999999999996</v>
      </c>
      <c r="S51" s="5">
        <f t="shared" si="16"/>
        <v>0.45999999999999996</v>
      </c>
      <c r="T51" s="26">
        <f t="shared" si="16"/>
        <v>1678.2600000000002</v>
      </c>
      <c r="U51" s="5">
        <f t="shared" si="16"/>
        <v>135457.67889999997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1581.64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3435.4339999999997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135457.6789</v>
      </c>
      <c r="K56" s="13"/>
      <c r="L56" s="13"/>
      <c r="M56" s="16"/>
      <c r="N56" s="13"/>
      <c r="P56" s="9"/>
      <c r="Q56" s="17"/>
      <c r="U56" s="17"/>
    </row>
    <row r="57" spans="1:24">
      <c r="P57" s="1"/>
      <c r="Q57" s="1"/>
      <c r="R57" s="1"/>
      <c r="S57" s="2"/>
      <c r="T57" s="1"/>
      <c r="U57" s="1"/>
    </row>
    <row r="61" spans="1:24">
      <c r="J61" s="13"/>
    </row>
  </sheetData>
  <mergeCells count="26"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A40" zoomScale="39" zoomScaleNormal="39" workbookViewId="0">
      <selection activeCell="A49" sqref="A49:XFD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'May 23'!H7</f>
        <v>7.179999999999982</v>
      </c>
      <c r="D7" s="3">
        <v>0</v>
      </c>
      <c r="E7" s="3">
        <f>'May 23'!E7+'June 23'!D7</f>
        <v>0</v>
      </c>
      <c r="F7" s="3">
        <v>0</v>
      </c>
      <c r="G7" s="3">
        <f>'May 23'!G7+'June 23'!F7</f>
        <v>0</v>
      </c>
      <c r="H7" s="3">
        <f>C7+D7-F7</f>
        <v>7.179999999999982</v>
      </c>
      <c r="I7" s="3">
        <f>'May 23'!N7</f>
        <v>719.82199999999978</v>
      </c>
      <c r="J7" s="3">
        <v>1.6850000000000001</v>
      </c>
      <c r="K7" s="3">
        <f>'May 23'!K7+'June 23'!J7</f>
        <v>7.0500000000000007</v>
      </c>
      <c r="L7" s="3">
        <v>0</v>
      </c>
      <c r="M7" s="3">
        <f>'May 23'!M7+'June 23'!L7</f>
        <v>0</v>
      </c>
      <c r="N7" s="3">
        <f>I7+J7-L7</f>
        <v>721.50699999999972</v>
      </c>
      <c r="O7" s="3">
        <f>'May 23'!T7</f>
        <v>8.436000000000007</v>
      </c>
      <c r="P7" s="3">
        <v>0</v>
      </c>
      <c r="Q7" s="3">
        <f>'May 23'!Q7+'June 23'!P7</f>
        <v>0</v>
      </c>
      <c r="R7" s="3">
        <v>0</v>
      </c>
      <c r="S7" s="3">
        <f>'May 23'!S7+'June 23'!R7</f>
        <v>0</v>
      </c>
      <c r="T7" s="3">
        <f>O7+P7-R7</f>
        <v>8.436000000000007</v>
      </c>
      <c r="U7" s="3">
        <f>H7+N7+T7</f>
        <v>737.12299999999971</v>
      </c>
    </row>
    <row r="8" spans="1:22" ht="38.25" customHeight="1">
      <c r="A8" s="35">
        <v>2</v>
      </c>
      <c r="B8" s="38" t="s">
        <v>14</v>
      </c>
      <c r="C8" s="3">
        <f>'May 23'!H8</f>
        <v>265.98999999999995</v>
      </c>
      <c r="D8" s="3">
        <v>0</v>
      </c>
      <c r="E8" s="3">
        <f>'May 23'!E8+'June 23'!D8</f>
        <v>0</v>
      </c>
      <c r="F8" s="3">
        <v>0</v>
      </c>
      <c r="G8" s="3">
        <f>'May 23'!G8+'June 23'!F8</f>
        <v>0</v>
      </c>
      <c r="H8" s="3">
        <f t="shared" ref="H8:H48" si="0">C8+D8-F8</f>
        <v>265.98999999999995</v>
      </c>
      <c r="I8" s="3">
        <f>'May 23'!N8</f>
        <v>425.1810000000001</v>
      </c>
      <c r="J8" s="3">
        <v>6.41</v>
      </c>
      <c r="K8" s="3">
        <f>'May 23'!K8+'June 23'!J8</f>
        <v>33.445000000000007</v>
      </c>
      <c r="L8" s="3">
        <v>0</v>
      </c>
      <c r="M8" s="3">
        <f>'May 23'!M8+'June 23'!L8</f>
        <v>0</v>
      </c>
      <c r="N8" s="3">
        <f t="shared" ref="N8:N48" si="1">I8+J8-L8</f>
        <v>431.59100000000012</v>
      </c>
      <c r="O8" s="3">
        <f>'May 23'!T8</f>
        <v>66.290000000000006</v>
      </c>
      <c r="P8" s="3">
        <v>0</v>
      </c>
      <c r="Q8" s="3">
        <f>'May 23'!Q8+'June 23'!P8</f>
        <v>0</v>
      </c>
      <c r="R8" s="3">
        <v>0</v>
      </c>
      <c r="S8" s="3">
        <f>'May 23'!S8+'June 23'!R8</f>
        <v>0</v>
      </c>
      <c r="T8" s="3">
        <f t="shared" ref="T8:T48" si="2">O8+P8-R8</f>
        <v>66.290000000000006</v>
      </c>
      <c r="U8" s="3">
        <f t="shared" ref="U8:U48" si="3">H8+N8+T8</f>
        <v>763.87100000000009</v>
      </c>
    </row>
    <row r="9" spans="1:22" ht="38.25" customHeight="1">
      <c r="A9" s="35">
        <v>3</v>
      </c>
      <c r="B9" s="38" t="s">
        <v>15</v>
      </c>
      <c r="C9" s="3">
        <f>'May 23'!H9</f>
        <v>209.16</v>
      </c>
      <c r="D9" s="3">
        <v>0</v>
      </c>
      <c r="E9" s="3">
        <f>'May 23'!E9+'June 23'!D9</f>
        <v>0</v>
      </c>
      <c r="F9" s="3">
        <v>0</v>
      </c>
      <c r="G9" s="3">
        <f>'May 23'!G9+'June 23'!F9</f>
        <v>0</v>
      </c>
      <c r="H9" s="3">
        <f t="shared" si="0"/>
        <v>209.16</v>
      </c>
      <c r="I9" s="3">
        <f>'May 23'!N9</f>
        <v>914.61799999999994</v>
      </c>
      <c r="J9" s="3">
        <v>8.8800000000000008</v>
      </c>
      <c r="K9" s="3">
        <f>'May 23'!K9+'June 23'!J9</f>
        <v>20.25</v>
      </c>
      <c r="L9" s="3">
        <v>0</v>
      </c>
      <c r="M9" s="3">
        <f>'May 23'!M9+'June 23'!L9</f>
        <v>0</v>
      </c>
      <c r="N9" s="3">
        <f t="shared" si="1"/>
        <v>923.49799999999993</v>
      </c>
      <c r="O9" s="3">
        <f>'May 23'!T9</f>
        <v>44.739999999999995</v>
      </c>
      <c r="P9" s="3">
        <v>0</v>
      </c>
      <c r="Q9" s="3">
        <f>'May 23'!Q9+'June 23'!P9</f>
        <v>0</v>
      </c>
      <c r="R9" s="3">
        <v>0</v>
      </c>
      <c r="S9" s="3">
        <f>'May 23'!S9+'June 23'!R9</f>
        <v>0</v>
      </c>
      <c r="T9" s="3">
        <f t="shared" si="2"/>
        <v>44.739999999999995</v>
      </c>
      <c r="U9" s="3">
        <f t="shared" si="3"/>
        <v>1177.3979999999999</v>
      </c>
    </row>
    <row r="10" spans="1:22" s="4" customFormat="1" ht="38.25" customHeight="1">
      <c r="A10" s="35">
        <v>4</v>
      </c>
      <c r="B10" s="38" t="s">
        <v>16</v>
      </c>
      <c r="C10" s="3">
        <f>'May 23'!H10</f>
        <v>0</v>
      </c>
      <c r="D10" s="3">
        <v>0</v>
      </c>
      <c r="E10" s="3">
        <f>'May 23'!E10+'June 23'!D10</f>
        <v>0</v>
      </c>
      <c r="F10" s="3">
        <v>0</v>
      </c>
      <c r="G10" s="3">
        <f>'May 23'!G10+'June 23'!F10</f>
        <v>0</v>
      </c>
      <c r="H10" s="3">
        <f t="shared" si="0"/>
        <v>0</v>
      </c>
      <c r="I10" s="3">
        <f>'May 23'!N10</f>
        <v>366.72099999999989</v>
      </c>
      <c r="J10" s="3">
        <v>1.28</v>
      </c>
      <c r="K10" s="3">
        <f>'May 23'!K10+'June 23'!J10</f>
        <v>3.0280000000000005</v>
      </c>
      <c r="L10" s="3">
        <v>0</v>
      </c>
      <c r="M10" s="3">
        <f>'May 23'!M10+'June 23'!L10</f>
        <v>0</v>
      </c>
      <c r="N10" s="3">
        <f t="shared" si="1"/>
        <v>368.00099999999986</v>
      </c>
      <c r="O10" s="3">
        <f>'May 23'!T10</f>
        <v>0.20000000000000007</v>
      </c>
      <c r="P10" s="3">
        <v>0</v>
      </c>
      <c r="Q10" s="3">
        <f>'May 23'!Q10+'June 23'!P10</f>
        <v>0</v>
      </c>
      <c r="R10" s="3">
        <v>0</v>
      </c>
      <c r="S10" s="3">
        <f>'May 23'!S10+'June 23'!R10</f>
        <v>0</v>
      </c>
      <c r="T10" s="3">
        <f t="shared" si="2"/>
        <v>0.20000000000000007</v>
      </c>
      <c r="U10" s="3">
        <f t="shared" si="3"/>
        <v>368.20099999999985</v>
      </c>
    </row>
    <row r="11" spans="1:22" s="4" customFormat="1" ht="38.25" customHeight="1">
      <c r="A11" s="34"/>
      <c r="B11" s="37" t="s">
        <v>17</v>
      </c>
      <c r="C11" s="5">
        <f>'May 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'May 23'!N11</f>
        <v>2426.3420000000001</v>
      </c>
      <c r="J11" s="5">
        <f t="shared" si="4"/>
        <v>18.255000000000003</v>
      </c>
      <c r="K11" s="5">
        <f t="shared" si="4"/>
        <v>63.773000000000003</v>
      </c>
      <c r="L11" s="5">
        <f t="shared" si="4"/>
        <v>0</v>
      </c>
      <c r="M11" s="5">
        <f t="shared" si="4"/>
        <v>0</v>
      </c>
      <c r="N11" s="5">
        <f t="shared" si="4"/>
        <v>2444.5969999999998</v>
      </c>
      <c r="O11" s="5">
        <f>'May 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3046.5929999999998</v>
      </c>
      <c r="V11" s="5"/>
    </row>
    <row r="12" spans="1:22" ht="38.25" customHeight="1">
      <c r="A12" s="35">
        <v>5</v>
      </c>
      <c r="B12" s="38" t="s">
        <v>18</v>
      </c>
      <c r="C12" s="3">
        <f>'May 23'!H12</f>
        <v>22.179999999999609</v>
      </c>
      <c r="D12" s="3">
        <v>0</v>
      </c>
      <c r="E12" s="3">
        <f>'May 23'!E12+'June 23'!D12</f>
        <v>0</v>
      </c>
      <c r="F12" s="3">
        <v>0</v>
      </c>
      <c r="G12" s="3">
        <f>'May 23'!G12+'June 23'!F12</f>
        <v>0</v>
      </c>
      <c r="H12" s="3">
        <f t="shared" si="0"/>
        <v>22.179999999999609</v>
      </c>
      <c r="I12" s="3">
        <f>'May 23'!N12</f>
        <v>1284.2549999999999</v>
      </c>
      <c r="J12" s="25">
        <v>3.59</v>
      </c>
      <c r="K12" s="3">
        <f>'May 23'!K12+'June 23'!J12</f>
        <v>11.41</v>
      </c>
      <c r="L12" s="3">
        <v>0</v>
      </c>
      <c r="M12" s="3">
        <f>'May 23'!M12+'June 23'!L12</f>
        <v>0</v>
      </c>
      <c r="N12" s="3">
        <f t="shared" si="1"/>
        <v>1287.8449999999998</v>
      </c>
      <c r="O12" s="3">
        <f>'May 23'!T12</f>
        <v>1.9700000000000095</v>
      </c>
      <c r="P12" s="3">
        <v>0</v>
      </c>
      <c r="Q12" s="3">
        <f>'May 23'!Q12+'June 23'!P12</f>
        <v>0</v>
      </c>
      <c r="R12" s="3">
        <v>0</v>
      </c>
      <c r="S12" s="3">
        <f>'May 23'!S12+'June 23'!R12</f>
        <v>0</v>
      </c>
      <c r="T12" s="3">
        <f t="shared" si="2"/>
        <v>1.9700000000000095</v>
      </c>
      <c r="U12" s="3">
        <f t="shared" si="3"/>
        <v>1311.9949999999994</v>
      </c>
    </row>
    <row r="13" spans="1:22" ht="38.25" customHeight="1">
      <c r="A13" s="35">
        <v>6</v>
      </c>
      <c r="B13" s="38" t="s">
        <v>19</v>
      </c>
      <c r="C13" s="3">
        <f>'May 23'!H13</f>
        <v>312.23000000000013</v>
      </c>
      <c r="D13" s="3">
        <v>0</v>
      </c>
      <c r="E13" s="3">
        <f>'May 23'!E13+'June 23'!D13</f>
        <v>0</v>
      </c>
      <c r="F13" s="3">
        <v>0</v>
      </c>
      <c r="G13" s="3">
        <f>'May 23'!G13+'June 23'!F13</f>
        <v>0</v>
      </c>
      <c r="H13" s="3">
        <f t="shared" si="0"/>
        <v>312.23000000000013</v>
      </c>
      <c r="I13" s="3">
        <f>'May 23'!N13</f>
        <v>549.70200000000023</v>
      </c>
      <c r="J13" s="25">
        <v>1.38</v>
      </c>
      <c r="K13" s="3">
        <f>'May 23'!K13+'June 23'!J13</f>
        <v>5.55</v>
      </c>
      <c r="L13" s="3">
        <v>0</v>
      </c>
      <c r="M13" s="3">
        <f>'May 23'!M13+'June 23'!L13</f>
        <v>0</v>
      </c>
      <c r="N13" s="3">
        <f t="shared" si="1"/>
        <v>551.08200000000022</v>
      </c>
      <c r="O13" s="3">
        <f>'May 23'!T13</f>
        <v>68.39</v>
      </c>
      <c r="P13" s="3">
        <v>0</v>
      </c>
      <c r="Q13" s="3">
        <f>'May 23'!Q13+'June 23'!P13</f>
        <v>0</v>
      </c>
      <c r="R13" s="3">
        <v>0</v>
      </c>
      <c r="S13" s="3">
        <f>'May 23'!S13+'June 23'!R13</f>
        <v>0</v>
      </c>
      <c r="T13" s="3">
        <f t="shared" si="2"/>
        <v>68.39</v>
      </c>
      <c r="U13" s="3">
        <f t="shared" si="3"/>
        <v>931.70200000000034</v>
      </c>
    </row>
    <row r="14" spans="1:22" s="4" customFormat="1" ht="38.25" customHeight="1">
      <c r="A14" s="35">
        <v>7</v>
      </c>
      <c r="B14" s="38" t="s">
        <v>20</v>
      </c>
      <c r="C14" s="3">
        <f>'May 23'!H14</f>
        <v>1216.4399999999994</v>
      </c>
      <c r="D14" s="3">
        <v>0</v>
      </c>
      <c r="E14" s="3">
        <f>'May 23'!E14+'June 23'!D14</f>
        <v>0</v>
      </c>
      <c r="F14" s="3">
        <v>0</v>
      </c>
      <c r="G14" s="3">
        <f>'May 23'!G14+'June 23'!F14</f>
        <v>0</v>
      </c>
      <c r="H14" s="3">
        <f t="shared" si="0"/>
        <v>1216.4399999999994</v>
      </c>
      <c r="I14" s="3">
        <f>'May 23'!N14</f>
        <v>916.54800000000034</v>
      </c>
      <c r="J14" s="25">
        <v>4.53</v>
      </c>
      <c r="K14" s="3">
        <f>'May 23'!K14+'June 23'!J14</f>
        <v>17.579999999999998</v>
      </c>
      <c r="L14" s="3">
        <v>0</v>
      </c>
      <c r="M14" s="3">
        <f>'May 23'!M14+'June 23'!L14</f>
        <v>0</v>
      </c>
      <c r="N14" s="3">
        <f t="shared" si="1"/>
        <v>921.07800000000032</v>
      </c>
      <c r="O14" s="3">
        <f>'May 23'!T14</f>
        <v>61.329999999999991</v>
      </c>
      <c r="P14" s="3">
        <v>0</v>
      </c>
      <c r="Q14" s="3">
        <f>'May 23'!Q14+'June 23'!P14</f>
        <v>0</v>
      </c>
      <c r="R14" s="3">
        <v>0</v>
      </c>
      <c r="S14" s="3">
        <f>'May 23'!S14+'June 23'!R14</f>
        <v>0</v>
      </c>
      <c r="T14" s="3">
        <f t="shared" si="2"/>
        <v>61.329999999999991</v>
      </c>
      <c r="U14" s="3">
        <f t="shared" si="3"/>
        <v>2198.8479999999995</v>
      </c>
    </row>
    <row r="15" spans="1:22" s="4" customFormat="1" ht="38.25" customHeight="1">
      <c r="A15" s="34"/>
      <c r="B15" s="37" t="s">
        <v>21</v>
      </c>
      <c r="C15" s="5">
        <f>'May 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1550.849999999999</v>
      </c>
      <c r="I15" s="5">
        <f>'May 23'!N15</f>
        <v>2750.5050000000006</v>
      </c>
      <c r="J15" s="5">
        <f t="shared" si="5"/>
        <v>9.5</v>
      </c>
      <c r="K15" s="5">
        <f t="shared" si="5"/>
        <v>34.54</v>
      </c>
      <c r="L15" s="5">
        <f t="shared" si="5"/>
        <v>0</v>
      </c>
      <c r="M15" s="5">
        <f t="shared" si="5"/>
        <v>0</v>
      </c>
      <c r="N15" s="5">
        <f t="shared" si="5"/>
        <v>2760.0050000000006</v>
      </c>
      <c r="O15" s="5">
        <f>'May 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4442.5449999999992</v>
      </c>
      <c r="V15" s="5"/>
    </row>
    <row r="16" spans="1:22" s="6" customFormat="1" ht="38.25" customHeight="1">
      <c r="A16" s="35">
        <v>8</v>
      </c>
      <c r="B16" s="38" t="s">
        <v>22</v>
      </c>
      <c r="C16" s="3">
        <f>'May 23'!H16</f>
        <v>752.67400000000032</v>
      </c>
      <c r="D16" s="3">
        <v>1.2</v>
      </c>
      <c r="E16" s="3">
        <f>'May 23'!E16+'June 23'!D16</f>
        <v>1.94</v>
      </c>
      <c r="F16" s="3">
        <v>0</v>
      </c>
      <c r="G16" s="3">
        <f>'May 23'!G16+'June 23'!F16</f>
        <v>4.2300000000000004</v>
      </c>
      <c r="H16" s="3">
        <f t="shared" si="0"/>
        <v>753.87400000000036</v>
      </c>
      <c r="I16" s="3">
        <f>'May 23'!N16</f>
        <v>578.39600000000019</v>
      </c>
      <c r="J16" s="3">
        <v>1.48</v>
      </c>
      <c r="K16" s="3">
        <f>'May 23'!K16+'June 23'!J16</f>
        <v>2.9</v>
      </c>
      <c r="L16" s="3">
        <v>0</v>
      </c>
      <c r="M16" s="3">
        <f>'May 23'!M16+'June 23'!L16</f>
        <v>0</v>
      </c>
      <c r="N16" s="3">
        <f t="shared" si="1"/>
        <v>579.8760000000002</v>
      </c>
      <c r="O16" s="3">
        <f>'May 23'!T16</f>
        <v>177.49200000000005</v>
      </c>
      <c r="P16" s="3">
        <v>0</v>
      </c>
      <c r="Q16" s="3">
        <f>'May 23'!Q16+'June 23'!P16</f>
        <v>0.08</v>
      </c>
      <c r="R16" s="3">
        <v>30.8</v>
      </c>
      <c r="S16" s="3">
        <f>'May 23'!S16+'June 23'!R16</f>
        <v>30.830000000000002</v>
      </c>
      <c r="T16" s="3">
        <f t="shared" si="2"/>
        <v>146.69200000000004</v>
      </c>
      <c r="U16" s="3">
        <f t="shared" si="3"/>
        <v>1480.4420000000005</v>
      </c>
    </row>
    <row r="17" spans="1:23" ht="61.5" customHeight="1">
      <c r="A17" s="7">
        <v>9</v>
      </c>
      <c r="B17" s="8" t="s">
        <v>23</v>
      </c>
      <c r="C17" s="3">
        <f>'May 23'!H17</f>
        <v>2.7259999999999476</v>
      </c>
      <c r="D17" s="3">
        <v>0</v>
      </c>
      <c r="E17" s="3">
        <f>'May 23'!E17+'June 23'!D17</f>
        <v>0.05</v>
      </c>
      <c r="F17" s="3">
        <v>0</v>
      </c>
      <c r="G17" s="3">
        <f>'May 23'!G17+'June 23'!F17</f>
        <v>0</v>
      </c>
      <c r="H17" s="3">
        <f t="shared" si="0"/>
        <v>2.7259999999999476</v>
      </c>
      <c r="I17" s="3">
        <f>'May 23'!N17</f>
        <v>598.81000000000006</v>
      </c>
      <c r="J17" s="3">
        <v>1.5</v>
      </c>
      <c r="K17" s="3">
        <f>'May 23'!K17+'June 23'!J17</f>
        <v>11.620000000000001</v>
      </c>
      <c r="L17" s="3">
        <v>0</v>
      </c>
      <c r="M17" s="3">
        <f>'May 23'!M17+'June 23'!L17</f>
        <v>0.43</v>
      </c>
      <c r="N17" s="3">
        <f t="shared" si="1"/>
        <v>600.31000000000006</v>
      </c>
      <c r="O17" s="3">
        <f>'May 23'!T17</f>
        <v>2.7399999999999998</v>
      </c>
      <c r="P17" s="3">
        <v>0</v>
      </c>
      <c r="Q17" s="3">
        <f>'May 23'!Q17+'June 23'!P17</f>
        <v>1.22</v>
      </c>
      <c r="R17" s="3">
        <v>0</v>
      </c>
      <c r="S17" s="3">
        <f>'May 23'!S17+'June 23'!R17</f>
        <v>0.43</v>
      </c>
      <c r="T17" s="3">
        <f t="shared" si="2"/>
        <v>2.7399999999999998</v>
      </c>
      <c r="U17" s="3">
        <f t="shared" si="3"/>
        <v>605.77600000000007</v>
      </c>
    </row>
    <row r="18" spans="1:23" s="4" customFormat="1" ht="38.25" customHeight="1">
      <c r="A18" s="35">
        <v>10</v>
      </c>
      <c r="B18" s="38" t="s">
        <v>24</v>
      </c>
      <c r="C18" s="3">
        <f>'May 23'!H18</f>
        <v>90.266000000000147</v>
      </c>
      <c r="D18" s="3">
        <v>0</v>
      </c>
      <c r="E18" s="3">
        <f>'May 23'!E18+'June 23'!D18</f>
        <v>0.05</v>
      </c>
      <c r="F18" s="3">
        <v>0</v>
      </c>
      <c r="G18" s="3">
        <f>'May 23'!G18+'June 23'!F18</f>
        <v>0.05</v>
      </c>
      <c r="H18" s="3">
        <f t="shared" si="0"/>
        <v>90.266000000000147</v>
      </c>
      <c r="I18" s="3">
        <f>'May 23'!N18</f>
        <v>620.09</v>
      </c>
      <c r="J18" s="3">
        <v>0.72</v>
      </c>
      <c r="K18" s="3">
        <f>'May 23'!K18+'June 23'!J18</f>
        <v>3.5149999999999997</v>
      </c>
      <c r="L18" s="3">
        <v>0</v>
      </c>
      <c r="M18" s="3">
        <f>'May 23'!M18+'June 23'!L18</f>
        <v>0</v>
      </c>
      <c r="N18" s="3">
        <f t="shared" si="1"/>
        <v>620.81000000000006</v>
      </c>
      <c r="O18" s="3">
        <f>'May 23'!T18</f>
        <v>35.689999999999991</v>
      </c>
      <c r="P18" s="3">
        <v>0</v>
      </c>
      <c r="Q18" s="3">
        <f>'May 23'!Q18+'June 23'!P18</f>
        <v>0</v>
      </c>
      <c r="R18" s="3">
        <v>0</v>
      </c>
      <c r="S18" s="3">
        <f>'May 23'!S18+'June 23'!R18</f>
        <v>0</v>
      </c>
      <c r="T18" s="3">
        <f t="shared" si="2"/>
        <v>35.689999999999991</v>
      </c>
      <c r="U18" s="3">
        <f t="shared" si="3"/>
        <v>746.76600000000019</v>
      </c>
    </row>
    <row r="19" spans="1:23" s="4" customFormat="1" ht="38.25" customHeight="1">
      <c r="A19" s="34"/>
      <c r="B19" s="37" t="s">
        <v>25</v>
      </c>
      <c r="C19" s="5">
        <f>'May 23'!H19</f>
        <v>845.66600000000051</v>
      </c>
      <c r="D19" s="5">
        <f t="shared" ref="D19:U19" si="6">SUM(D16:D18)</f>
        <v>1.2</v>
      </c>
      <c r="E19" s="5">
        <f t="shared" si="6"/>
        <v>2.04</v>
      </c>
      <c r="F19" s="5">
        <f t="shared" si="6"/>
        <v>0</v>
      </c>
      <c r="G19" s="5">
        <f t="shared" si="6"/>
        <v>4.28</v>
      </c>
      <c r="H19" s="5">
        <f t="shared" si="6"/>
        <v>846.86600000000055</v>
      </c>
      <c r="I19" s="5">
        <f>'May 23'!N19</f>
        <v>1797.2960000000003</v>
      </c>
      <c r="J19" s="5">
        <f t="shared" si="6"/>
        <v>3.7</v>
      </c>
      <c r="K19" s="5">
        <f t="shared" si="6"/>
        <v>18.035</v>
      </c>
      <c r="L19" s="5">
        <f t="shared" si="6"/>
        <v>0</v>
      </c>
      <c r="M19" s="5">
        <f t="shared" si="6"/>
        <v>0.43</v>
      </c>
      <c r="N19" s="5">
        <f t="shared" si="6"/>
        <v>1800.9960000000001</v>
      </c>
      <c r="O19" s="5">
        <f>'May 23'!T19</f>
        <v>215.92200000000005</v>
      </c>
      <c r="P19" s="5">
        <f t="shared" si="6"/>
        <v>0</v>
      </c>
      <c r="Q19" s="5">
        <f t="shared" si="6"/>
        <v>1.3</v>
      </c>
      <c r="R19" s="5">
        <f t="shared" si="6"/>
        <v>30.8</v>
      </c>
      <c r="S19" s="5">
        <f t="shared" si="6"/>
        <v>31.26</v>
      </c>
      <c r="T19" s="5">
        <f t="shared" si="6"/>
        <v>185.12200000000004</v>
      </c>
      <c r="U19" s="5">
        <f t="shared" si="6"/>
        <v>2832.9840000000008</v>
      </c>
    </row>
    <row r="20" spans="1:23" ht="38.25" customHeight="1">
      <c r="A20" s="35">
        <v>11</v>
      </c>
      <c r="B20" s="38" t="s">
        <v>26</v>
      </c>
      <c r="C20" s="3">
        <f>'May 23'!H20</f>
        <v>607.42999999999984</v>
      </c>
      <c r="D20" s="3">
        <v>0</v>
      </c>
      <c r="E20" s="3">
        <f>'May 23'!E20+'June 23'!D20</f>
        <v>0</v>
      </c>
      <c r="F20" s="3">
        <v>0</v>
      </c>
      <c r="G20" s="3">
        <f>'May 23'!G20+'June 23'!F20</f>
        <v>0</v>
      </c>
      <c r="H20" s="3">
        <f t="shared" si="0"/>
        <v>607.42999999999984</v>
      </c>
      <c r="I20" s="3">
        <f>'May 23'!N20</f>
        <v>750.90800000000024</v>
      </c>
      <c r="J20" s="3">
        <v>2.16</v>
      </c>
      <c r="K20" s="3">
        <f>'May 23'!K20+'June 23'!J20</f>
        <v>4.68</v>
      </c>
      <c r="L20" s="3">
        <v>0</v>
      </c>
      <c r="M20" s="3">
        <f>'May 23'!M20+'June 23'!L20</f>
        <v>0.02</v>
      </c>
      <c r="N20" s="3">
        <f t="shared" si="1"/>
        <v>753.06800000000021</v>
      </c>
      <c r="O20" s="3">
        <f>'May 23'!T20</f>
        <v>37.580000000000005</v>
      </c>
      <c r="P20" s="3">
        <v>0</v>
      </c>
      <c r="Q20" s="3">
        <f>'May 23'!Q20+'June 23'!P20</f>
        <v>0</v>
      </c>
      <c r="R20" s="3">
        <v>0</v>
      </c>
      <c r="S20" s="3">
        <f>'May 23'!S20+'June 23'!R20</f>
        <v>0</v>
      </c>
      <c r="T20" s="3">
        <f t="shared" si="2"/>
        <v>37.580000000000005</v>
      </c>
      <c r="U20" s="3">
        <f t="shared" si="3"/>
        <v>1398.078</v>
      </c>
      <c r="W20" s="90"/>
    </row>
    <row r="21" spans="1:23" ht="38.25" customHeight="1">
      <c r="A21" s="35">
        <v>12</v>
      </c>
      <c r="B21" s="38" t="s">
        <v>27</v>
      </c>
      <c r="C21" s="3">
        <f>'May 23'!H21</f>
        <v>2.0700000000000003</v>
      </c>
      <c r="D21" s="3">
        <v>0</v>
      </c>
      <c r="E21" s="3">
        <f>'May 23'!E21+'June 23'!D21</f>
        <v>0</v>
      </c>
      <c r="F21" s="3">
        <v>0</v>
      </c>
      <c r="G21" s="3">
        <f>'May 23'!G21+'June 23'!F21</f>
        <v>0</v>
      </c>
      <c r="H21" s="3">
        <f t="shared" si="0"/>
        <v>2.0700000000000003</v>
      </c>
      <c r="I21" s="3">
        <f>'May 23'!N21</f>
        <v>465.09700000000009</v>
      </c>
      <c r="J21" s="3">
        <v>0.12</v>
      </c>
      <c r="K21" s="3">
        <f>'May 23'!K21+'June 23'!J21</f>
        <v>3.81</v>
      </c>
      <c r="L21" s="3">
        <v>0</v>
      </c>
      <c r="M21" s="3">
        <f>'May 23'!M21+'June 23'!L21</f>
        <v>0.02</v>
      </c>
      <c r="N21" s="3">
        <f t="shared" si="1"/>
        <v>465.2170000000001</v>
      </c>
      <c r="O21" s="3">
        <f>'May 23'!T21</f>
        <v>18.889999999999993</v>
      </c>
      <c r="P21" s="3">
        <v>0</v>
      </c>
      <c r="Q21" s="3">
        <f>'May 23'!Q21+'June 23'!P21</f>
        <v>0</v>
      </c>
      <c r="R21" s="3">
        <v>0</v>
      </c>
      <c r="S21" s="3">
        <f>'May 23'!S21+'June 23'!R21</f>
        <v>0</v>
      </c>
      <c r="T21" s="3">
        <f t="shared" si="2"/>
        <v>18.889999999999993</v>
      </c>
      <c r="U21" s="3">
        <f t="shared" si="3"/>
        <v>486.17700000000008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'May 23'!H22</f>
        <v>22.430000000000021</v>
      </c>
      <c r="D22" s="3">
        <v>0</v>
      </c>
      <c r="E22" s="3">
        <f>'May 23'!E22+'June 23'!D22</f>
        <v>0</v>
      </c>
      <c r="F22" s="3">
        <v>0</v>
      </c>
      <c r="G22" s="3">
        <f>'May 23'!G22+'June 23'!F22</f>
        <v>0</v>
      </c>
      <c r="H22" s="3">
        <f t="shared" si="0"/>
        <v>22.430000000000021</v>
      </c>
      <c r="I22" s="3">
        <f>'May 23'!N22</f>
        <v>698.84000000000015</v>
      </c>
      <c r="J22" s="3">
        <v>0.56000000000000005</v>
      </c>
      <c r="K22" s="3">
        <f>'May 23'!K22+'June 23'!J22</f>
        <v>1.1800000000000002</v>
      </c>
      <c r="L22" s="3">
        <v>0</v>
      </c>
      <c r="M22" s="3">
        <f>'May 23'!M22+'June 23'!L22</f>
        <v>0</v>
      </c>
      <c r="N22" s="3">
        <f t="shared" si="1"/>
        <v>699.40000000000009</v>
      </c>
      <c r="O22" s="3">
        <f>'May 23'!T22</f>
        <v>0.60000000000000098</v>
      </c>
      <c r="P22" s="3">
        <v>0</v>
      </c>
      <c r="Q22" s="3">
        <f>'May 23'!Q22+'June 23'!P22</f>
        <v>0</v>
      </c>
      <c r="R22" s="3">
        <v>0</v>
      </c>
      <c r="S22" s="3">
        <f>'May 23'!S22+'June 23'!R22</f>
        <v>0</v>
      </c>
      <c r="T22" s="3">
        <f t="shared" si="2"/>
        <v>0.60000000000000098</v>
      </c>
      <c r="U22" s="3">
        <f t="shared" si="3"/>
        <v>722.43000000000018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'May 23'!H23</f>
        <v>432.16999999999996</v>
      </c>
      <c r="D23" s="3">
        <v>0</v>
      </c>
      <c r="E23" s="3">
        <f>'May 23'!E23+'June 23'!D23</f>
        <v>1.53</v>
      </c>
      <c r="F23" s="3">
        <v>0</v>
      </c>
      <c r="G23" s="3">
        <f>'May 23'!G23+'June 23'!F23</f>
        <v>0</v>
      </c>
      <c r="H23" s="3">
        <f t="shared" si="0"/>
        <v>432.16999999999996</v>
      </c>
      <c r="I23" s="3">
        <f>'May 23'!N23</f>
        <v>140.48499999999999</v>
      </c>
      <c r="J23" s="3">
        <v>2.7</v>
      </c>
      <c r="K23" s="3">
        <f>'May 23'!K23+'June 23'!J23</f>
        <v>3.63</v>
      </c>
      <c r="L23" s="3">
        <v>0</v>
      </c>
      <c r="M23" s="3">
        <f>'May 23'!M23+'June 23'!L23</f>
        <v>0</v>
      </c>
      <c r="N23" s="3">
        <f t="shared" si="1"/>
        <v>143.18499999999997</v>
      </c>
      <c r="O23" s="3">
        <f>'May 23'!T23</f>
        <v>22.5</v>
      </c>
      <c r="P23" s="3">
        <v>0</v>
      </c>
      <c r="Q23" s="3">
        <f>'May 23'!Q23+'June 23'!P23</f>
        <v>0</v>
      </c>
      <c r="R23" s="3">
        <v>0</v>
      </c>
      <c r="S23" s="3">
        <f>'May 23'!S23+'June 23'!R23</f>
        <v>0</v>
      </c>
      <c r="T23" s="3">
        <f t="shared" si="2"/>
        <v>22.5</v>
      </c>
      <c r="U23" s="3">
        <f t="shared" si="3"/>
        <v>597.8549999999999</v>
      </c>
      <c r="W23" s="90"/>
    </row>
    <row r="24" spans="1:23" s="4" customFormat="1" ht="38.25" customHeight="1">
      <c r="A24" s="34"/>
      <c r="B24" s="37" t="s">
        <v>30</v>
      </c>
      <c r="C24" s="5">
        <f>'May 23'!H24</f>
        <v>1064.0999999999999</v>
      </c>
      <c r="D24" s="5">
        <f t="shared" ref="D24:U24" si="7">SUM(D20:D23)</f>
        <v>0</v>
      </c>
      <c r="E24" s="5">
        <f t="shared" si="7"/>
        <v>1.53</v>
      </c>
      <c r="F24" s="5">
        <f t="shared" si="7"/>
        <v>0</v>
      </c>
      <c r="G24" s="5">
        <f t="shared" si="7"/>
        <v>0</v>
      </c>
      <c r="H24" s="5">
        <f t="shared" si="7"/>
        <v>1064.0999999999999</v>
      </c>
      <c r="I24" s="5">
        <f>'May 23'!N24</f>
        <v>2055.3300000000004</v>
      </c>
      <c r="J24" s="5">
        <f t="shared" si="7"/>
        <v>5.5400000000000009</v>
      </c>
      <c r="K24" s="5">
        <f t="shared" si="7"/>
        <v>13.3</v>
      </c>
      <c r="L24" s="5">
        <f t="shared" si="7"/>
        <v>0</v>
      </c>
      <c r="M24" s="5">
        <f t="shared" si="7"/>
        <v>0.04</v>
      </c>
      <c r="N24" s="5">
        <f t="shared" si="7"/>
        <v>2060.8700000000003</v>
      </c>
      <c r="O24" s="5">
        <f>'May 23'!T24</f>
        <v>79.569999999999993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0</v>
      </c>
      <c r="T24" s="5">
        <f t="shared" si="7"/>
        <v>79.569999999999993</v>
      </c>
      <c r="U24" s="5">
        <f t="shared" si="7"/>
        <v>3204.5400000000004</v>
      </c>
    </row>
    <row r="25" spans="1:23" s="4" customFormat="1" ht="38.25" customHeight="1">
      <c r="A25" s="34"/>
      <c r="B25" s="37" t="s">
        <v>31</v>
      </c>
      <c r="C25" s="5">
        <f>'May 23'!H25</f>
        <v>3942.9459999999995</v>
      </c>
      <c r="D25" s="5">
        <f t="shared" ref="D25:U25" si="8">D24+D19+D15+D11</f>
        <v>1.2</v>
      </c>
      <c r="E25" s="5">
        <f t="shared" si="8"/>
        <v>3.5700000000000003</v>
      </c>
      <c r="F25" s="5">
        <f t="shared" si="8"/>
        <v>0</v>
      </c>
      <c r="G25" s="5">
        <f t="shared" si="8"/>
        <v>4.28</v>
      </c>
      <c r="H25" s="5">
        <f t="shared" si="8"/>
        <v>3944.1459999999993</v>
      </c>
      <c r="I25" s="5">
        <f>'May 23'!N25</f>
        <v>9029.4730000000018</v>
      </c>
      <c r="J25" s="5">
        <f t="shared" si="8"/>
        <v>36.995000000000005</v>
      </c>
      <c r="K25" s="5">
        <f t="shared" si="8"/>
        <v>129.648</v>
      </c>
      <c r="L25" s="5">
        <f t="shared" si="8"/>
        <v>0</v>
      </c>
      <c r="M25" s="5">
        <f t="shared" si="8"/>
        <v>0.47</v>
      </c>
      <c r="N25" s="5">
        <f t="shared" si="8"/>
        <v>9066.4680000000008</v>
      </c>
      <c r="O25" s="5">
        <f>'May 23'!T25</f>
        <v>546.84800000000007</v>
      </c>
      <c r="P25" s="5">
        <f t="shared" si="8"/>
        <v>0</v>
      </c>
      <c r="Q25" s="5">
        <f t="shared" si="8"/>
        <v>1.3</v>
      </c>
      <c r="R25" s="5">
        <f t="shared" si="8"/>
        <v>30.8</v>
      </c>
      <c r="S25" s="5">
        <f t="shared" si="8"/>
        <v>31.26</v>
      </c>
      <c r="T25" s="5">
        <f t="shared" si="8"/>
        <v>516.048</v>
      </c>
      <c r="U25" s="5">
        <f t="shared" si="8"/>
        <v>13526.662</v>
      </c>
    </row>
    <row r="26" spans="1:23" ht="38.25" customHeight="1">
      <c r="A26" s="35">
        <v>15</v>
      </c>
      <c r="B26" s="38" t="s">
        <v>32</v>
      </c>
      <c r="C26" s="3">
        <f>'May 23'!H26</f>
        <v>1640.68</v>
      </c>
      <c r="D26" s="3">
        <v>2.44</v>
      </c>
      <c r="E26" s="3">
        <f>'May 23'!E26+'June 23'!D26</f>
        <v>14.83</v>
      </c>
      <c r="F26" s="3">
        <v>0</v>
      </c>
      <c r="G26" s="3">
        <f>'May 23'!G26+'June 23'!F26</f>
        <v>0</v>
      </c>
      <c r="H26" s="3">
        <f t="shared" si="0"/>
        <v>1643.1200000000001</v>
      </c>
      <c r="I26" s="3">
        <f>'May 23'!N26</f>
        <v>122.2</v>
      </c>
      <c r="J26" s="3">
        <v>0.03</v>
      </c>
      <c r="K26" s="3">
        <f>'May 23'!K26+'June 23'!J26</f>
        <v>0.68</v>
      </c>
      <c r="L26" s="3">
        <v>0</v>
      </c>
      <c r="M26" s="3">
        <f>'May 23'!M26+'June 23'!L26</f>
        <v>0</v>
      </c>
      <c r="N26" s="3">
        <f t="shared" si="1"/>
        <v>122.23</v>
      </c>
      <c r="O26" s="3">
        <f>'May 23'!T26</f>
        <v>16.489999999999998</v>
      </c>
      <c r="P26" s="3">
        <v>0</v>
      </c>
      <c r="Q26" s="3">
        <f>'May 23'!Q26+'June 23'!P26</f>
        <v>0.12</v>
      </c>
      <c r="R26" s="3">
        <v>0</v>
      </c>
      <c r="S26" s="3">
        <f>'May 23'!S26+'June 23'!R26</f>
        <v>0</v>
      </c>
      <c r="T26" s="3">
        <f t="shared" si="2"/>
        <v>16.489999999999998</v>
      </c>
      <c r="U26" s="3">
        <f t="shared" si="3"/>
        <v>1781.8400000000001</v>
      </c>
    </row>
    <row r="27" spans="1:23" s="4" customFormat="1" ht="38.25" customHeight="1">
      <c r="A27" s="35">
        <v>16</v>
      </c>
      <c r="B27" s="38" t="s">
        <v>33</v>
      </c>
      <c r="C27" s="3">
        <f>'May 23'!H27</f>
        <v>5701.8350000000046</v>
      </c>
      <c r="D27" s="3">
        <v>8.2100000000000009</v>
      </c>
      <c r="E27" s="3">
        <f>'May 23'!E27+'June 23'!D27</f>
        <v>24.69</v>
      </c>
      <c r="F27" s="3">
        <v>0</v>
      </c>
      <c r="G27" s="3">
        <f>'May 23'!G27+'June 23'!F27</f>
        <v>0.02</v>
      </c>
      <c r="H27" s="3">
        <f t="shared" si="0"/>
        <v>5710.0450000000046</v>
      </c>
      <c r="I27" s="3">
        <f>'May 23'!N27</f>
        <v>635.77799999999991</v>
      </c>
      <c r="J27" s="3">
        <v>3.05</v>
      </c>
      <c r="K27" s="3">
        <f>'May 23'!K27+'June 23'!J27</f>
        <v>4.67</v>
      </c>
      <c r="L27" s="3">
        <v>0</v>
      </c>
      <c r="M27" s="3">
        <f>'May 23'!M27+'June 23'!L27</f>
        <v>0.02</v>
      </c>
      <c r="N27" s="3">
        <f t="shared" si="1"/>
        <v>638.82799999999986</v>
      </c>
      <c r="O27" s="3">
        <f>'May 23'!T27</f>
        <v>33.800000000000004</v>
      </c>
      <c r="P27" s="3">
        <v>0.05</v>
      </c>
      <c r="Q27" s="3">
        <f>'May 23'!Q27+'June 23'!P27</f>
        <v>0.05</v>
      </c>
      <c r="R27" s="3">
        <v>0</v>
      </c>
      <c r="S27" s="3">
        <f>'May 23'!S27+'June 23'!R27</f>
        <v>0</v>
      </c>
      <c r="T27" s="3">
        <f t="shared" si="2"/>
        <v>33.85</v>
      </c>
      <c r="U27" s="3">
        <f t="shared" si="3"/>
        <v>6382.7230000000045</v>
      </c>
    </row>
    <row r="28" spans="1:23" s="4" customFormat="1" ht="38.25" customHeight="1">
      <c r="A28" s="34"/>
      <c r="B28" s="37" t="s">
        <v>34</v>
      </c>
      <c r="C28" s="5">
        <f>'May 23'!H28</f>
        <v>7342.5150000000049</v>
      </c>
      <c r="D28" s="5">
        <f t="shared" ref="D28:U28" si="9">SUM(D26:D27)</f>
        <v>10.65</v>
      </c>
      <c r="E28" s="5">
        <f t="shared" si="9"/>
        <v>39.520000000000003</v>
      </c>
      <c r="F28" s="5">
        <f t="shared" si="9"/>
        <v>0</v>
      </c>
      <c r="G28" s="5">
        <f t="shared" si="9"/>
        <v>0.02</v>
      </c>
      <c r="H28" s="5">
        <f t="shared" si="9"/>
        <v>7353.1650000000045</v>
      </c>
      <c r="I28" s="5">
        <f>'May 23'!N28</f>
        <v>757.97799999999995</v>
      </c>
      <c r="J28" s="5">
        <f t="shared" si="9"/>
        <v>3.0799999999999996</v>
      </c>
      <c r="K28" s="5">
        <f t="shared" si="9"/>
        <v>5.35</v>
      </c>
      <c r="L28" s="5">
        <f t="shared" si="9"/>
        <v>0</v>
      </c>
      <c r="M28" s="5">
        <f t="shared" si="9"/>
        <v>0.02</v>
      </c>
      <c r="N28" s="5">
        <f t="shared" si="9"/>
        <v>761.05799999999988</v>
      </c>
      <c r="O28" s="5">
        <f>'May 23'!T28</f>
        <v>50.290000000000006</v>
      </c>
      <c r="P28" s="5">
        <f t="shared" si="9"/>
        <v>0.05</v>
      </c>
      <c r="Q28" s="5">
        <f t="shared" si="9"/>
        <v>0.16999999999999998</v>
      </c>
      <c r="R28" s="5">
        <f t="shared" si="9"/>
        <v>0</v>
      </c>
      <c r="S28" s="5">
        <f t="shared" si="9"/>
        <v>0</v>
      </c>
      <c r="T28" s="5">
        <f t="shared" si="9"/>
        <v>50.34</v>
      </c>
      <c r="U28" s="5">
        <f t="shared" si="9"/>
        <v>8164.5630000000046</v>
      </c>
    </row>
    <row r="29" spans="1:23" ht="38.25" customHeight="1">
      <c r="A29" s="35">
        <v>17</v>
      </c>
      <c r="B29" s="38" t="s">
        <v>35</v>
      </c>
      <c r="C29" s="3">
        <f>'May 23'!H29</f>
        <v>5009.728000000001</v>
      </c>
      <c r="D29" s="3">
        <v>1.1499999999999999</v>
      </c>
      <c r="E29" s="3">
        <f>'May 23'!E29+'June 23'!D29</f>
        <v>129.84</v>
      </c>
      <c r="F29" s="3">
        <v>0</v>
      </c>
      <c r="G29" s="3">
        <f>'May 23'!G29+'June 23'!F29</f>
        <v>0</v>
      </c>
      <c r="H29" s="3">
        <f t="shared" si="0"/>
        <v>5010.8780000000006</v>
      </c>
      <c r="I29" s="3">
        <f>'May 23'!N29</f>
        <v>121.68000000000002</v>
      </c>
      <c r="J29" s="3">
        <v>0.56999999999999995</v>
      </c>
      <c r="K29" s="3">
        <f>'May 23'!K29+'June 23'!J29</f>
        <v>0.72</v>
      </c>
      <c r="L29" s="3">
        <v>0</v>
      </c>
      <c r="M29" s="3">
        <f>'May 23'!M29+'June 23'!L29</f>
        <v>0</v>
      </c>
      <c r="N29" s="3">
        <f t="shared" si="1"/>
        <v>122.25000000000001</v>
      </c>
      <c r="O29" s="3">
        <f>'May 23'!T29</f>
        <v>34.52000000000001</v>
      </c>
      <c r="P29" s="3">
        <v>0</v>
      </c>
      <c r="Q29" s="3">
        <f>'May 23'!Q29+'June 23'!P29</f>
        <v>0</v>
      </c>
      <c r="R29" s="3">
        <v>0</v>
      </c>
      <c r="S29" s="3">
        <f>'May 23'!S29+'June 23'!R29</f>
        <v>0</v>
      </c>
      <c r="T29" s="3">
        <f t="shared" si="2"/>
        <v>34.52000000000001</v>
      </c>
      <c r="U29" s="3">
        <f t="shared" si="3"/>
        <v>5167.648000000001</v>
      </c>
      <c r="W29" s="89"/>
    </row>
    <row r="30" spans="1:23" ht="54.75" customHeight="1">
      <c r="A30" s="35">
        <v>18</v>
      </c>
      <c r="B30" s="38" t="s">
        <v>36</v>
      </c>
      <c r="C30" s="3">
        <f>'May 23'!H30</f>
        <v>3711.8999999999992</v>
      </c>
      <c r="D30" s="3">
        <v>5.46</v>
      </c>
      <c r="E30" s="3">
        <f>'May 23'!E30+'June 23'!D30</f>
        <v>15.21</v>
      </c>
      <c r="F30" s="3">
        <v>0</v>
      </c>
      <c r="G30" s="3">
        <f>'May 23'!G30+'June 23'!F30</f>
        <v>0</v>
      </c>
      <c r="H30" s="3">
        <f t="shared" si="0"/>
        <v>3717.3599999999992</v>
      </c>
      <c r="I30" s="3">
        <f>'May 23'!N30</f>
        <v>198.58699999999999</v>
      </c>
      <c r="J30" s="3">
        <v>0</v>
      </c>
      <c r="K30" s="3">
        <f>'May 23'!K30+'June 23'!J30</f>
        <v>0</v>
      </c>
      <c r="L30" s="3">
        <v>0</v>
      </c>
      <c r="M30" s="3">
        <f>'May 23'!M30+'June 23'!L30</f>
        <v>0</v>
      </c>
      <c r="N30" s="3">
        <f t="shared" si="1"/>
        <v>198.58699999999999</v>
      </c>
      <c r="O30" s="3">
        <f>'May 23'!T30</f>
        <v>23.25</v>
      </c>
      <c r="P30" s="3">
        <v>0</v>
      </c>
      <c r="Q30" s="3">
        <f>'May 23'!Q30+'June 23'!P30</f>
        <v>0</v>
      </c>
      <c r="R30" s="3">
        <v>0</v>
      </c>
      <c r="S30" s="3">
        <f>'May 23'!S30+'June 23'!R30</f>
        <v>0</v>
      </c>
      <c r="T30" s="3">
        <f t="shared" si="2"/>
        <v>23.25</v>
      </c>
      <c r="U30" s="3">
        <f t="shared" si="3"/>
        <v>3939.1969999999992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'May 23'!H31</f>
        <v>4704.5700000000015</v>
      </c>
      <c r="D31" s="3">
        <v>4.33</v>
      </c>
      <c r="E31" s="3">
        <f>'May 23'!E31+'June 23'!D31</f>
        <v>6.4079999999999995</v>
      </c>
      <c r="F31" s="3">
        <v>0</v>
      </c>
      <c r="G31" s="3">
        <f>'May 23'!G31+'June 23'!F31</f>
        <v>0</v>
      </c>
      <c r="H31" s="3">
        <f t="shared" si="0"/>
        <v>4708.9000000000015</v>
      </c>
      <c r="I31" s="3">
        <f>'May 23'!N31</f>
        <v>107.89500000000002</v>
      </c>
      <c r="J31" s="3">
        <v>0</v>
      </c>
      <c r="K31" s="3">
        <f>'May 23'!K31+'June 23'!J31</f>
        <v>0.20499999999999999</v>
      </c>
      <c r="L31" s="3">
        <v>0</v>
      </c>
      <c r="M31" s="3">
        <f>'May 23'!M31+'June 23'!L31</f>
        <v>0</v>
      </c>
      <c r="N31" s="3">
        <f t="shared" si="1"/>
        <v>107.89500000000002</v>
      </c>
      <c r="O31" s="3">
        <f>'May 23'!T31</f>
        <v>14.850000000000001</v>
      </c>
      <c r="P31" s="3">
        <v>0</v>
      </c>
      <c r="Q31" s="3">
        <f>'May 23'!Q31+'June 23'!P31</f>
        <v>0</v>
      </c>
      <c r="R31" s="3">
        <v>0</v>
      </c>
      <c r="S31" s="3">
        <f>'May 23'!S31+'June 23'!R31</f>
        <v>0</v>
      </c>
      <c r="T31" s="3">
        <f t="shared" si="2"/>
        <v>14.850000000000001</v>
      </c>
      <c r="U31" s="3">
        <f t="shared" si="3"/>
        <v>4831.6450000000023</v>
      </c>
      <c r="W31" s="89"/>
    </row>
    <row r="32" spans="1:23" ht="70.5" customHeight="1">
      <c r="A32" s="35">
        <v>20</v>
      </c>
      <c r="B32" s="38" t="s">
        <v>38</v>
      </c>
      <c r="C32" s="3">
        <f>'May 23'!H32</f>
        <v>2369.4057999999991</v>
      </c>
      <c r="D32" s="3">
        <v>1.77</v>
      </c>
      <c r="E32" s="3">
        <f>'May 23'!E32+'June 23'!D32</f>
        <v>6.879999999999999</v>
      </c>
      <c r="F32" s="3">
        <v>0</v>
      </c>
      <c r="G32" s="3">
        <f>'May 23'!G32+'June 23'!F32</f>
        <v>9.73</v>
      </c>
      <c r="H32" s="3">
        <f t="shared" si="0"/>
        <v>2371.1757999999991</v>
      </c>
      <c r="I32" s="3">
        <f>'May 23'!N32</f>
        <v>96.384000000000029</v>
      </c>
      <c r="J32" s="3">
        <v>1.78</v>
      </c>
      <c r="K32" s="3">
        <f>'May 23'!K32+'June 23'!J32</f>
        <v>4.9880000000000004</v>
      </c>
      <c r="L32" s="3">
        <v>0</v>
      </c>
      <c r="M32" s="3">
        <f>'May 23'!M32+'June 23'!L32</f>
        <v>0</v>
      </c>
      <c r="N32" s="3">
        <f t="shared" si="1"/>
        <v>98.16400000000003</v>
      </c>
      <c r="O32" s="3">
        <f>'May 23'!T32</f>
        <v>67.551999999999992</v>
      </c>
      <c r="P32" s="3">
        <v>0</v>
      </c>
      <c r="Q32" s="3">
        <f>'May 23'!Q32+'June 23'!P32</f>
        <v>0</v>
      </c>
      <c r="R32" s="3">
        <v>0</v>
      </c>
      <c r="S32" s="3">
        <f>'May 23'!S32+'June 23'!R32</f>
        <v>0</v>
      </c>
      <c r="T32" s="3">
        <f t="shared" si="2"/>
        <v>67.551999999999992</v>
      </c>
      <c r="U32" s="3">
        <f t="shared" si="3"/>
        <v>2536.8917999999994</v>
      </c>
      <c r="W32" s="89"/>
    </row>
    <row r="33" spans="1:23" s="4" customFormat="1" ht="38.25" customHeight="1">
      <c r="A33" s="34"/>
      <c r="B33" s="37" t="s">
        <v>39</v>
      </c>
      <c r="C33" s="5">
        <f>'May 23'!H33</f>
        <v>15795.603800000001</v>
      </c>
      <c r="D33" s="5">
        <f t="shared" ref="D33:U33" si="10">SUM(D29:D32)</f>
        <v>12.709999999999999</v>
      </c>
      <c r="E33" s="5">
        <f t="shared" si="10"/>
        <v>158.33799999999999</v>
      </c>
      <c r="F33" s="5">
        <f t="shared" si="10"/>
        <v>0</v>
      </c>
      <c r="G33" s="5">
        <f t="shared" si="10"/>
        <v>9.73</v>
      </c>
      <c r="H33" s="5">
        <f t="shared" si="10"/>
        <v>15808.3138</v>
      </c>
      <c r="I33" s="5">
        <f>'May 23'!N33</f>
        <v>524.54600000000005</v>
      </c>
      <c r="J33" s="5">
        <f t="shared" si="10"/>
        <v>2.35</v>
      </c>
      <c r="K33" s="5">
        <f t="shared" si="10"/>
        <v>5.9130000000000003</v>
      </c>
      <c r="L33" s="5">
        <f t="shared" si="10"/>
        <v>0</v>
      </c>
      <c r="M33" s="5">
        <f t="shared" si="10"/>
        <v>0</v>
      </c>
      <c r="N33" s="5">
        <f t="shared" si="10"/>
        <v>526.89600000000007</v>
      </c>
      <c r="O33" s="5">
        <f>'May 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16475.381800000003</v>
      </c>
    </row>
    <row r="34" spans="1:23" ht="38.25" customHeight="1">
      <c r="A34" s="35">
        <v>21</v>
      </c>
      <c r="B34" s="38" t="s">
        <v>40</v>
      </c>
      <c r="C34" s="3">
        <f>'May 23'!H34</f>
        <v>4922.87</v>
      </c>
      <c r="D34" s="3">
        <f>0.41+159.25</f>
        <v>159.66</v>
      </c>
      <c r="E34" s="3">
        <f>'May 23'!E34+'June 23'!D34</f>
        <v>495.78</v>
      </c>
      <c r="F34" s="3">
        <v>0</v>
      </c>
      <c r="G34" s="3">
        <f>'May 23'!G34+'June 23'!F34</f>
        <v>0</v>
      </c>
      <c r="H34" s="3">
        <f t="shared" si="0"/>
        <v>5082.53</v>
      </c>
      <c r="I34" s="3">
        <f>'May 23'!N34</f>
        <v>108.16999999999999</v>
      </c>
      <c r="J34" s="3">
        <v>0</v>
      </c>
      <c r="K34" s="3">
        <f>'May 23'!K34+'June 23'!J34</f>
        <v>0.09</v>
      </c>
      <c r="L34" s="3">
        <v>0</v>
      </c>
      <c r="M34" s="3">
        <f>'May 23'!M34+'June 23'!L34</f>
        <v>0</v>
      </c>
      <c r="N34" s="3">
        <f t="shared" si="1"/>
        <v>108.16999999999999</v>
      </c>
      <c r="O34" s="3">
        <f>'May 23'!T34</f>
        <v>72.7</v>
      </c>
      <c r="P34" s="3">
        <v>0</v>
      </c>
      <c r="Q34" s="3">
        <f>'May 23'!Q34+'June 23'!P34</f>
        <v>0</v>
      </c>
      <c r="R34" s="3">
        <v>0</v>
      </c>
      <c r="S34" s="3">
        <f>'May 23'!S34+'June 23'!R34</f>
        <v>0</v>
      </c>
      <c r="T34" s="3">
        <f t="shared" si="2"/>
        <v>72.7</v>
      </c>
      <c r="U34" s="3">
        <f t="shared" si="3"/>
        <v>5263.4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'May 23'!H35</f>
        <v>6744.3599999999979</v>
      </c>
      <c r="D35" s="3">
        <f>12.98+9</f>
        <v>21.98</v>
      </c>
      <c r="E35" s="3">
        <f>'May 23'!E35+'June 23'!D35</f>
        <v>82.72</v>
      </c>
      <c r="F35" s="3">
        <v>0</v>
      </c>
      <c r="G35" s="3">
        <f>'May 23'!G35+'June 23'!F35</f>
        <v>0</v>
      </c>
      <c r="H35" s="3">
        <f t="shared" si="0"/>
        <v>6766.3399999999974</v>
      </c>
      <c r="I35" s="3">
        <f>'May 23'!N35</f>
        <v>34.17</v>
      </c>
      <c r="J35" s="3">
        <v>0</v>
      </c>
      <c r="K35" s="3">
        <f>'May 23'!K35+'June 23'!J35</f>
        <v>0.04</v>
      </c>
      <c r="L35" s="3">
        <v>0</v>
      </c>
      <c r="M35" s="3">
        <f>'May 23'!M35+'June 23'!L35</f>
        <v>0</v>
      </c>
      <c r="N35" s="3">
        <f t="shared" si="1"/>
        <v>34.17</v>
      </c>
      <c r="O35" s="3">
        <f>'May 23'!T35</f>
        <v>90.800000000000011</v>
      </c>
      <c r="P35" s="3">
        <v>0</v>
      </c>
      <c r="Q35" s="3">
        <f>'May 23'!Q35+'June 23'!P35</f>
        <v>0</v>
      </c>
      <c r="R35" s="3">
        <v>0</v>
      </c>
      <c r="S35" s="3">
        <f>'May 23'!S35+'June 23'!R35</f>
        <v>0</v>
      </c>
      <c r="T35" s="3">
        <f t="shared" si="2"/>
        <v>90.800000000000011</v>
      </c>
      <c r="U35" s="3">
        <f t="shared" si="3"/>
        <v>6891.3099999999977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'May 23'!H36</f>
        <v>4680.18</v>
      </c>
      <c r="D36" s="3">
        <f>6.75+489.65</f>
        <v>496.4</v>
      </c>
      <c r="E36" s="3">
        <f>'May 23'!E36+'June 23'!D36</f>
        <v>1478.92</v>
      </c>
      <c r="F36" s="3">
        <v>0</v>
      </c>
      <c r="G36" s="3">
        <f>'May 23'!G36+'June 23'!F36</f>
        <v>0</v>
      </c>
      <c r="H36" s="3">
        <f t="shared" si="0"/>
        <v>5176.58</v>
      </c>
      <c r="I36" s="3">
        <f>'May 23'!N36</f>
        <v>30.250000000000039</v>
      </c>
      <c r="J36" s="3">
        <v>0</v>
      </c>
      <c r="K36" s="3">
        <f>'May 23'!K36+'June 23'!J36</f>
        <v>0</v>
      </c>
      <c r="L36" s="3">
        <v>0</v>
      </c>
      <c r="M36" s="3">
        <f>'May 23'!M36+'June 23'!L36</f>
        <v>0</v>
      </c>
      <c r="N36" s="3">
        <f t="shared" si="1"/>
        <v>30.250000000000039</v>
      </c>
      <c r="O36" s="3">
        <f>'May 23'!T36</f>
        <v>36.379999999999995</v>
      </c>
      <c r="P36" s="3">
        <v>0</v>
      </c>
      <c r="Q36" s="3">
        <f>'May 23'!Q36+'June 23'!P36</f>
        <v>0</v>
      </c>
      <c r="R36" s="3">
        <v>0</v>
      </c>
      <c r="S36" s="3">
        <f>'May 23'!S36+'June 23'!R36</f>
        <v>0</v>
      </c>
      <c r="T36" s="3">
        <f t="shared" si="2"/>
        <v>36.379999999999995</v>
      </c>
      <c r="U36" s="3">
        <f t="shared" si="3"/>
        <v>5243.21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'May 23'!H37</f>
        <v>5116.8799999999983</v>
      </c>
      <c r="D37" s="3">
        <v>7.01</v>
      </c>
      <c r="E37" s="3">
        <f>'May 23'!E37+'June 23'!D37</f>
        <v>29.379999999999995</v>
      </c>
      <c r="F37" s="3">
        <v>0</v>
      </c>
      <c r="G37" s="3">
        <f>'May 23'!G37+'June 23'!F37</f>
        <v>0</v>
      </c>
      <c r="H37" s="3">
        <f t="shared" si="0"/>
        <v>5123.8899999999985</v>
      </c>
      <c r="I37" s="3">
        <f>'May 23'!N37</f>
        <v>26.700000000000003</v>
      </c>
      <c r="J37" s="3">
        <v>0</v>
      </c>
      <c r="K37" s="3">
        <f>'May 23'!K37+'June 23'!J37</f>
        <v>0</v>
      </c>
      <c r="L37" s="3">
        <v>0</v>
      </c>
      <c r="M37" s="3">
        <f>'May 23'!M37+'June 23'!L37</f>
        <v>0</v>
      </c>
      <c r="N37" s="3">
        <f t="shared" si="1"/>
        <v>26.700000000000003</v>
      </c>
      <c r="O37" s="3">
        <f>'May 23'!T37</f>
        <v>3.0599999999999996</v>
      </c>
      <c r="P37" s="3">
        <v>0</v>
      </c>
      <c r="Q37" s="3">
        <f>'May 23'!Q37+'June 23'!P37</f>
        <v>0</v>
      </c>
      <c r="R37" s="3">
        <v>0</v>
      </c>
      <c r="S37" s="3">
        <f>'May 23'!S37+'June 23'!R37</f>
        <v>0</v>
      </c>
      <c r="T37" s="3">
        <f t="shared" si="2"/>
        <v>3.0599999999999996</v>
      </c>
      <c r="U37" s="3">
        <f t="shared" si="3"/>
        <v>5153.6499999999987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'May 23'!H38</f>
        <v>21464.289999999997</v>
      </c>
      <c r="D38" s="5">
        <f t="shared" ref="D38:U38" si="11">SUM(D34:D37)</f>
        <v>685.05</v>
      </c>
      <c r="E38" s="5">
        <f t="shared" si="11"/>
        <v>2086.8000000000002</v>
      </c>
      <c r="F38" s="5">
        <f t="shared" si="11"/>
        <v>0</v>
      </c>
      <c r="G38" s="5">
        <f t="shared" si="11"/>
        <v>0</v>
      </c>
      <c r="H38" s="5">
        <f t="shared" si="11"/>
        <v>22149.339999999997</v>
      </c>
      <c r="I38" s="5">
        <f>'May 23'!N38</f>
        <v>199.29000000000002</v>
      </c>
      <c r="J38" s="5">
        <f t="shared" si="11"/>
        <v>0</v>
      </c>
      <c r="K38" s="5">
        <f t="shared" si="11"/>
        <v>0.13</v>
      </c>
      <c r="L38" s="5">
        <f t="shared" si="11"/>
        <v>0</v>
      </c>
      <c r="M38" s="5">
        <f t="shared" si="11"/>
        <v>0</v>
      </c>
      <c r="N38" s="5">
        <f t="shared" si="11"/>
        <v>199.29000000000002</v>
      </c>
      <c r="O38" s="5">
        <f>'May 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22551.569999999996</v>
      </c>
    </row>
    <row r="39" spans="1:23" s="4" customFormat="1" ht="38.25" customHeight="1">
      <c r="A39" s="34"/>
      <c r="B39" s="37" t="s">
        <v>45</v>
      </c>
      <c r="C39" s="5">
        <f>'May 23'!H39</f>
        <v>44602.408800000005</v>
      </c>
      <c r="D39" s="5">
        <f t="shared" ref="D39:U39" si="12">D38+D33+D28</f>
        <v>708.41</v>
      </c>
      <c r="E39" s="5">
        <f t="shared" si="12"/>
        <v>2284.6580000000004</v>
      </c>
      <c r="F39" s="5">
        <f t="shared" si="12"/>
        <v>0</v>
      </c>
      <c r="G39" s="5">
        <f t="shared" si="12"/>
        <v>9.75</v>
      </c>
      <c r="H39" s="5">
        <f t="shared" si="12"/>
        <v>45310.818800000008</v>
      </c>
      <c r="I39" s="5">
        <f>'May 23'!N39</f>
        <v>1481.8139999999999</v>
      </c>
      <c r="J39" s="5">
        <f t="shared" si="12"/>
        <v>5.43</v>
      </c>
      <c r="K39" s="5">
        <f t="shared" si="12"/>
        <v>11.393000000000001</v>
      </c>
      <c r="L39" s="5">
        <f t="shared" si="12"/>
        <v>0</v>
      </c>
      <c r="M39" s="5">
        <f t="shared" si="12"/>
        <v>0.02</v>
      </c>
      <c r="N39" s="5">
        <f t="shared" si="12"/>
        <v>1487.2440000000001</v>
      </c>
      <c r="O39" s="5">
        <f>'May 23'!T39</f>
        <v>393.40199999999999</v>
      </c>
      <c r="P39" s="5">
        <f t="shared" si="12"/>
        <v>0.05</v>
      </c>
      <c r="Q39" s="5">
        <f t="shared" si="12"/>
        <v>0.16999999999999998</v>
      </c>
      <c r="R39" s="5">
        <f t="shared" si="12"/>
        <v>0</v>
      </c>
      <c r="S39" s="5">
        <f t="shared" si="12"/>
        <v>0</v>
      </c>
      <c r="T39" s="5">
        <f t="shared" si="12"/>
        <v>393.452</v>
      </c>
      <c r="U39" s="5">
        <f t="shared" si="12"/>
        <v>47191.514799999997</v>
      </c>
    </row>
    <row r="40" spans="1:23" ht="38.25" customHeight="1">
      <c r="A40" s="35">
        <v>25</v>
      </c>
      <c r="B40" s="38" t="s">
        <v>46</v>
      </c>
      <c r="C40" s="3">
        <f>'May 23'!H40</f>
        <v>12342.343999999997</v>
      </c>
      <c r="D40" s="3">
        <f>19.45+232.46</f>
        <v>251.91</v>
      </c>
      <c r="E40" s="3">
        <f>'May 23'!E40+'June 23'!D40</f>
        <v>736.63</v>
      </c>
      <c r="F40" s="3">
        <v>0</v>
      </c>
      <c r="G40" s="3">
        <f>'May 23'!G40+'June 23'!F40</f>
        <v>0</v>
      </c>
      <c r="H40" s="3">
        <f t="shared" si="0"/>
        <v>12594.253999999997</v>
      </c>
      <c r="I40" s="3">
        <f>'May 23'!N40</f>
        <v>198.73</v>
      </c>
      <c r="J40" s="3">
        <v>0</v>
      </c>
      <c r="K40" s="3">
        <f>'May 23'!K40+'June 23'!J40</f>
        <v>0</v>
      </c>
      <c r="L40" s="3">
        <v>0</v>
      </c>
      <c r="M40" s="3">
        <f>'May 23'!M40+'June 23'!L40</f>
        <v>0</v>
      </c>
      <c r="N40" s="3">
        <f t="shared" si="1"/>
        <v>198.73</v>
      </c>
      <c r="O40" s="3">
        <f>'May 23'!T40</f>
        <v>106.93</v>
      </c>
      <c r="P40" s="3">
        <v>0</v>
      </c>
      <c r="Q40" s="3">
        <f>'May 23'!Q40+'June 23'!P40</f>
        <v>0</v>
      </c>
      <c r="R40" s="3">
        <v>0</v>
      </c>
      <c r="S40" s="3">
        <f>'May 23'!S40+'June 23'!R40</f>
        <v>0</v>
      </c>
      <c r="T40" s="3">
        <f t="shared" si="2"/>
        <v>106.93</v>
      </c>
      <c r="U40" s="3">
        <f t="shared" si="3"/>
        <v>12899.913999999997</v>
      </c>
    </row>
    <row r="41" spans="1:23" ht="38.25" customHeight="1">
      <c r="A41" s="35">
        <v>26</v>
      </c>
      <c r="B41" s="38" t="s">
        <v>47</v>
      </c>
      <c r="C41" s="3">
        <f>'May 23'!H41</f>
        <v>8596.648999999994</v>
      </c>
      <c r="D41" s="3">
        <f>3.02+40.91+43.81</f>
        <v>87.740000000000009</v>
      </c>
      <c r="E41" s="3">
        <f>'May 23'!E41+'June 23'!D41</f>
        <v>236.99</v>
      </c>
      <c r="F41" s="3">
        <v>0</v>
      </c>
      <c r="G41" s="3">
        <f>'May 23'!G41+'June 23'!F41</f>
        <v>0</v>
      </c>
      <c r="H41" s="3">
        <f t="shared" si="0"/>
        <v>8684.3889999999938</v>
      </c>
      <c r="I41" s="3">
        <f>'May 23'!N41</f>
        <v>8.67</v>
      </c>
      <c r="J41" s="3">
        <v>0</v>
      </c>
      <c r="K41" s="3">
        <f>'May 23'!K41+'June 23'!J41</f>
        <v>0</v>
      </c>
      <c r="L41" s="3">
        <v>0</v>
      </c>
      <c r="M41" s="3">
        <f>'May 23'!M41+'June 23'!L41</f>
        <v>0</v>
      </c>
      <c r="N41" s="3">
        <f t="shared" si="1"/>
        <v>8.67</v>
      </c>
      <c r="O41" s="3">
        <f>'May 23'!T41</f>
        <v>141.29000000000002</v>
      </c>
      <c r="P41" s="3">
        <v>0</v>
      </c>
      <c r="Q41" s="3">
        <f>'May 23'!Q41+'June 23'!P41</f>
        <v>0</v>
      </c>
      <c r="R41" s="3">
        <v>0</v>
      </c>
      <c r="S41" s="3">
        <f>'May 23'!S41+'June 23'!R41</f>
        <v>0</v>
      </c>
      <c r="T41" s="3">
        <f t="shared" si="2"/>
        <v>141.29000000000002</v>
      </c>
      <c r="U41" s="3">
        <f t="shared" si="3"/>
        <v>8834.3489999999947</v>
      </c>
    </row>
    <row r="42" spans="1:23" s="4" customFormat="1" ht="38.25" customHeight="1">
      <c r="A42" s="35">
        <v>27</v>
      </c>
      <c r="B42" s="38" t="s">
        <v>48</v>
      </c>
      <c r="C42" s="3">
        <f>'May 23'!H42</f>
        <v>14526.352999999996</v>
      </c>
      <c r="D42" s="3">
        <f>23.81+266.11</f>
        <v>289.92</v>
      </c>
      <c r="E42" s="3">
        <f>'May 23'!E42+'June 23'!D42</f>
        <v>862.60000000000014</v>
      </c>
      <c r="F42" s="3">
        <v>0</v>
      </c>
      <c r="G42" s="3">
        <f>'May 23'!G42+'June 23'!F42</f>
        <v>0</v>
      </c>
      <c r="H42" s="3">
        <f t="shared" si="0"/>
        <v>14816.272999999996</v>
      </c>
      <c r="I42" s="3">
        <f>'May 23'!N42</f>
        <v>15.62</v>
      </c>
      <c r="J42" s="3">
        <v>0</v>
      </c>
      <c r="K42" s="3">
        <f>'May 23'!K42+'June 23'!J42</f>
        <v>0</v>
      </c>
      <c r="L42" s="3">
        <v>0</v>
      </c>
      <c r="M42" s="3">
        <f>'May 23'!M42+'June 23'!L42</f>
        <v>0</v>
      </c>
      <c r="N42" s="3">
        <f t="shared" si="1"/>
        <v>15.62</v>
      </c>
      <c r="O42" s="3">
        <f>'May 23'!T42</f>
        <v>205.35</v>
      </c>
      <c r="P42" s="3">
        <v>0</v>
      </c>
      <c r="Q42" s="3">
        <f>'May 23'!Q42+'June 23'!P42</f>
        <v>0</v>
      </c>
      <c r="R42" s="3">
        <v>0</v>
      </c>
      <c r="S42" s="3">
        <f>'May 23'!S42+'June 23'!R42</f>
        <v>0</v>
      </c>
      <c r="T42" s="3">
        <f t="shared" si="2"/>
        <v>205.35</v>
      </c>
      <c r="U42" s="3">
        <f t="shared" si="3"/>
        <v>15037.242999999997</v>
      </c>
    </row>
    <row r="43" spans="1:23" ht="38.25" customHeight="1">
      <c r="A43" s="35">
        <v>28</v>
      </c>
      <c r="B43" s="38" t="s">
        <v>49</v>
      </c>
      <c r="C43" s="3">
        <f>'May 23'!H43</f>
        <v>4356.4100000000008</v>
      </c>
      <c r="D43" s="3">
        <f>1.04+37.25+39.35</f>
        <v>77.64</v>
      </c>
      <c r="E43" s="3">
        <f>'May 23'!E43+'June 23'!D43</f>
        <v>232.08999999999997</v>
      </c>
      <c r="F43" s="3">
        <v>0</v>
      </c>
      <c r="G43" s="3">
        <f>'May 23'!G43+'June 23'!F43</f>
        <v>0</v>
      </c>
      <c r="H43" s="3">
        <f t="shared" si="0"/>
        <v>4434.0500000000011</v>
      </c>
      <c r="I43" s="3">
        <f>'May 23'!N43</f>
        <v>3.5</v>
      </c>
      <c r="J43" s="3">
        <v>0</v>
      </c>
      <c r="K43" s="3">
        <f>'May 23'!K43+'June 23'!J43</f>
        <v>0</v>
      </c>
      <c r="L43" s="3">
        <v>0</v>
      </c>
      <c r="M43" s="3">
        <f>'May 23'!M43+'June 23'!L43</f>
        <v>0</v>
      </c>
      <c r="N43" s="3">
        <f t="shared" si="1"/>
        <v>3.5</v>
      </c>
      <c r="O43" s="3">
        <f>'May 23'!T43</f>
        <v>29.8</v>
      </c>
      <c r="P43" s="3">
        <v>0</v>
      </c>
      <c r="Q43" s="3">
        <f>'May 23'!Q43+'June 23'!P43</f>
        <v>0</v>
      </c>
      <c r="R43" s="3">
        <v>0</v>
      </c>
      <c r="S43" s="3">
        <f>'May 23'!S43+'June 23'!R43</f>
        <v>0</v>
      </c>
      <c r="T43" s="3">
        <f t="shared" si="2"/>
        <v>29.8</v>
      </c>
      <c r="U43" s="3">
        <f t="shared" si="3"/>
        <v>4467.3500000000013</v>
      </c>
    </row>
    <row r="44" spans="1:23" s="4" customFormat="1" ht="38.25" customHeight="1">
      <c r="A44" s="34"/>
      <c r="B44" s="37" t="s">
        <v>50</v>
      </c>
      <c r="C44" s="5">
        <f>'May 23'!H44</f>
        <v>39821.755999999994</v>
      </c>
      <c r="D44" s="5">
        <f t="shared" ref="D44:U44" si="13">SUM(D40:D43)</f>
        <v>707.20999999999992</v>
      </c>
      <c r="E44" s="5">
        <f t="shared" si="13"/>
        <v>2068.3100000000004</v>
      </c>
      <c r="F44" s="5">
        <f t="shared" si="13"/>
        <v>0</v>
      </c>
      <c r="G44" s="5">
        <f t="shared" si="13"/>
        <v>0</v>
      </c>
      <c r="H44" s="5">
        <f t="shared" si="13"/>
        <v>40528.965999999986</v>
      </c>
      <c r="I44" s="5">
        <f>'May 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'May 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41238.855999999985</v>
      </c>
    </row>
    <row r="45" spans="1:23" ht="38.25" customHeight="1">
      <c r="A45" s="35">
        <v>29</v>
      </c>
      <c r="B45" s="38" t="s">
        <v>51</v>
      </c>
      <c r="C45" s="3">
        <f>'May 23'!H45</f>
        <v>8422.4520999999986</v>
      </c>
      <c r="D45" s="3">
        <v>14.15</v>
      </c>
      <c r="E45" s="3">
        <f>'May 23'!E45+'June 23'!D45</f>
        <v>72.790000000000006</v>
      </c>
      <c r="F45" s="3">
        <v>0</v>
      </c>
      <c r="G45" s="3">
        <f>'May 23'!G45+'June 23'!F45</f>
        <v>0</v>
      </c>
      <c r="H45" s="3">
        <f t="shared" si="0"/>
        <v>8436.6020999999982</v>
      </c>
      <c r="I45" s="3">
        <f>'May 23'!N45</f>
        <v>261.06999999999994</v>
      </c>
      <c r="J45" s="3">
        <v>0.08</v>
      </c>
      <c r="K45" s="3">
        <f>'May 23'!K45+'June 23'!J45</f>
        <v>0.1</v>
      </c>
      <c r="L45" s="3">
        <v>0</v>
      </c>
      <c r="M45" s="3">
        <f>'May 23'!M45+'June 23'!L45</f>
        <v>0</v>
      </c>
      <c r="N45" s="3">
        <f t="shared" si="1"/>
        <v>261.14999999999992</v>
      </c>
      <c r="O45" s="3">
        <f>'May 23'!T45</f>
        <v>84.45</v>
      </c>
      <c r="P45" s="3">
        <v>0</v>
      </c>
      <c r="Q45" s="3">
        <f>'May 23'!Q45+'June 23'!P45</f>
        <v>0.06</v>
      </c>
      <c r="R45" s="3">
        <v>0</v>
      </c>
      <c r="S45" s="3">
        <f>'May 23'!S45+'June 23'!R45</f>
        <v>0</v>
      </c>
      <c r="T45" s="3">
        <f t="shared" si="2"/>
        <v>84.45</v>
      </c>
      <c r="U45" s="3">
        <f t="shared" si="3"/>
        <v>8782.2020999999986</v>
      </c>
    </row>
    <row r="46" spans="1:23" ht="38.25" customHeight="1">
      <c r="A46" s="35">
        <v>30</v>
      </c>
      <c r="B46" s="38" t="s">
        <v>52</v>
      </c>
      <c r="C46" s="3">
        <f>'May 23'!H46</f>
        <v>8012.8550000000014</v>
      </c>
      <c r="D46" s="3">
        <v>36.47</v>
      </c>
      <c r="E46" s="3">
        <f>'May 23'!E46+'June 23'!D46</f>
        <v>102.09</v>
      </c>
      <c r="F46" s="3">
        <v>0</v>
      </c>
      <c r="G46" s="3">
        <f>'May 23'!G46+'June 23'!F46</f>
        <v>0</v>
      </c>
      <c r="H46" s="3">
        <f t="shared" si="0"/>
        <v>8049.3250000000016</v>
      </c>
      <c r="I46" s="3">
        <f>'May 23'!N46</f>
        <v>0</v>
      </c>
      <c r="J46" s="3">
        <v>0</v>
      </c>
      <c r="K46" s="3">
        <f>'May 23'!K46+'June 23'!J46</f>
        <v>0</v>
      </c>
      <c r="L46" s="3">
        <v>0</v>
      </c>
      <c r="M46" s="3">
        <f>'May 23'!M46+'June 23'!L46</f>
        <v>0</v>
      </c>
      <c r="N46" s="3">
        <f t="shared" si="1"/>
        <v>0</v>
      </c>
      <c r="O46" s="3">
        <f>'May 23'!T46</f>
        <v>47.03</v>
      </c>
      <c r="P46" s="3">
        <v>0</v>
      </c>
      <c r="Q46" s="3">
        <f>'May 23'!Q46+'June 23'!P46</f>
        <v>0</v>
      </c>
      <c r="R46" s="3">
        <v>0</v>
      </c>
      <c r="S46" s="3">
        <f>'May 23'!S46+'June 23'!R46</f>
        <v>0</v>
      </c>
      <c r="T46" s="3">
        <f t="shared" si="2"/>
        <v>47.03</v>
      </c>
      <c r="U46" s="3">
        <f t="shared" si="3"/>
        <v>8096.3550000000014</v>
      </c>
    </row>
    <row r="47" spans="1:23" s="4" customFormat="1" ht="38.25" customHeight="1">
      <c r="A47" s="35">
        <v>31</v>
      </c>
      <c r="B47" s="38" t="s">
        <v>53</v>
      </c>
      <c r="C47" s="3">
        <f>'May 23'!H47</f>
        <v>9328.1399999999958</v>
      </c>
      <c r="D47" s="3">
        <v>4.1399999999999997</v>
      </c>
      <c r="E47" s="3">
        <f>'May 23'!E47+'June 23'!D47</f>
        <v>254.57999999999998</v>
      </c>
      <c r="F47" s="3">
        <v>0</v>
      </c>
      <c r="G47" s="3">
        <f>'May 23'!G47+'June 23'!F47</f>
        <v>0</v>
      </c>
      <c r="H47" s="3">
        <f t="shared" si="0"/>
        <v>9332.2799999999952</v>
      </c>
      <c r="I47" s="3">
        <f>'May 23'!N47</f>
        <v>3.13</v>
      </c>
      <c r="J47" s="3">
        <v>0</v>
      </c>
      <c r="K47" s="3">
        <f>'May 23'!K47+'June 23'!J47</f>
        <v>0</v>
      </c>
      <c r="L47" s="3">
        <v>0</v>
      </c>
      <c r="M47" s="3">
        <f>'May 23'!M47+'June 23'!L47</f>
        <v>0</v>
      </c>
      <c r="N47" s="3">
        <f t="shared" si="1"/>
        <v>3.13</v>
      </c>
      <c r="O47" s="3">
        <f>'May 23'!T47</f>
        <v>118.94999999999999</v>
      </c>
      <c r="P47" s="3">
        <v>0</v>
      </c>
      <c r="Q47" s="3">
        <f>'May 23'!Q47+'June 23'!P47</f>
        <v>0</v>
      </c>
      <c r="R47" s="3">
        <v>0</v>
      </c>
      <c r="S47" s="3">
        <f>'May 23'!S47+'June 23'!R47</f>
        <v>0</v>
      </c>
      <c r="T47" s="3">
        <f t="shared" si="2"/>
        <v>118.94999999999999</v>
      </c>
      <c r="U47" s="3">
        <f t="shared" si="3"/>
        <v>9454.3599999999951</v>
      </c>
    </row>
    <row r="48" spans="1:23" s="4" customFormat="1" ht="38.25" customHeight="1">
      <c r="A48" s="35">
        <v>32</v>
      </c>
      <c r="B48" s="38" t="s">
        <v>54</v>
      </c>
      <c r="C48" s="3">
        <f>'May 23'!H48</f>
        <v>8641.8289999999979</v>
      </c>
      <c r="D48" s="3">
        <v>0.67</v>
      </c>
      <c r="E48" s="3">
        <f>'May 23'!E48+'June 23'!D48</f>
        <v>36.550000000000004</v>
      </c>
      <c r="F48" s="3">
        <v>0</v>
      </c>
      <c r="G48" s="3">
        <f>'May 23'!G48+'June 23'!F48</f>
        <v>0</v>
      </c>
      <c r="H48" s="3">
        <f t="shared" si="0"/>
        <v>8642.498999999998</v>
      </c>
      <c r="I48" s="3">
        <f>'May 23'!N48</f>
        <v>5.0249999999999995</v>
      </c>
      <c r="J48" s="3">
        <v>0</v>
      </c>
      <c r="K48" s="3">
        <f>'May 23'!K48+'June 23'!J48</f>
        <v>0</v>
      </c>
      <c r="L48" s="3">
        <v>0</v>
      </c>
      <c r="M48" s="3">
        <f>'May 23'!M48+'June 23'!L48</f>
        <v>0</v>
      </c>
      <c r="N48" s="3">
        <f t="shared" si="1"/>
        <v>5.0249999999999995</v>
      </c>
      <c r="O48" s="3">
        <f>'May 23'!T48</f>
        <v>4.21</v>
      </c>
      <c r="P48" s="3">
        <v>0</v>
      </c>
      <c r="Q48" s="3">
        <f>'May 23'!Q48+'June 23'!P48</f>
        <v>0</v>
      </c>
      <c r="R48" s="3">
        <v>0</v>
      </c>
      <c r="S48" s="3">
        <f>'May 23'!S48+'June 23'!R48</f>
        <v>0</v>
      </c>
      <c r="T48" s="3">
        <f t="shared" si="2"/>
        <v>4.21</v>
      </c>
      <c r="U48" s="3">
        <f t="shared" si="3"/>
        <v>8651.7339999999967</v>
      </c>
    </row>
    <row r="49" spans="1:24" s="4" customFormat="1" ht="38.25" customHeight="1">
      <c r="A49" s="34"/>
      <c r="B49" s="37" t="s">
        <v>55</v>
      </c>
      <c r="C49" s="5">
        <f>'May 23'!H49</f>
        <v>34405.276099999988</v>
      </c>
      <c r="D49" s="5">
        <f t="shared" ref="D49:U49" si="14">SUM(D45:D48)</f>
        <v>55.43</v>
      </c>
      <c r="E49" s="5">
        <f t="shared" si="14"/>
        <v>466.01</v>
      </c>
      <c r="F49" s="5">
        <f t="shared" si="14"/>
        <v>0</v>
      </c>
      <c r="G49" s="5">
        <f t="shared" si="14"/>
        <v>0</v>
      </c>
      <c r="H49" s="5">
        <f t="shared" si="14"/>
        <v>34460.706099999996</v>
      </c>
      <c r="I49" s="5">
        <f>'May 23'!N49</f>
        <v>269.22499999999991</v>
      </c>
      <c r="J49" s="5">
        <f t="shared" si="14"/>
        <v>0.08</v>
      </c>
      <c r="K49" s="5">
        <f t="shared" si="14"/>
        <v>0.1</v>
      </c>
      <c r="L49" s="5">
        <f t="shared" si="14"/>
        <v>0</v>
      </c>
      <c r="M49" s="5">
        <f t="shared" si="14"/>
        <v>0</v>
      </c>
      <c r="N49" s="5">
        <f t="shared" si="14"/>
        <v>269.30499999999989</v>
      </c>
      <c r="O49" s="5">
        <f>'May 23'!T49</f>
        <v>254.64000000000001</v>
      </c>
      <c r="P49" s="5">
        <f t="shared" si="14"/>
        <v>0</v>
      </c>
      <c r="Q49" s="5">
        <f t="shared" si="14"/>
        <v>0.06</v>
      </c>
      <c r="R49" s="5">
        <f t="shared" si="14"/>
        <v>0</v>
      </c>
      <c r="S49" s="5">
        <f t="shared" si="14"/>
        <v>0</v>
      </c>
      <c r="T49" s="5">
        <f t="shared" si="14"/>
        <v>254.64000000000001</v>
      </c>
      <c r="U49" s="5">
        <f t="shared" si="14"/>
        <v>34984.651099999988</v>
      </c>
    </row>
    <row r="50" spans="1:24" s="4" customFormat="1" ht="38.25" customHeight="1">
      <c r="A50" s="34"/>
      <c r="B50" s="37" t="s">
        <v>56</v>
      </c>
      <c r="C50" s="5">
        <f>'May 23'!H50</f>
        <v>74227.032099999982</v>
      </c>
      <c r="D50" s="5">
        <f t="shared" ref="D50:U50" si="15">D49+D44</f>
        <v>762.63999999999987</v>
      </c>
      <c r="E50" s="5">
        <f t="shared" si="15"/>
        <v>2534.3200000000006</v>
      </c>
      <c r="F50" s="5">
        <f t="shared" si="15"/>
        <v>0</v>
      </c>
      <c r="G50" s="5">
        <f t="shared" si="15"/>
        <v>0</v>
      </c>
      <c r="H50" s="5">
        <f t="shared" si="15"/>
        <v>74989.672099999982</v>
      </c>
      <c r="I50" s="5">
        <f>'May 23'!N50</f>
        <v>495.74499999999989</v>
      </c>
      <c r="J50" s="5">
        <f t="shared" si="15"/>
        <v>0.08</v>
      </c>
      <c r="K50" s="5">
        <f t="shared" si="15"/>
        <v>0.1</v>
      </c>
      <c r="L50" s="5">
        <f t="shared" si="15"/>
        <v>0</v>
      </c>
      <c r="M50" s="5">
        <f t="shared" si="15"/>
        <v>0</v>
      </c>
      <c r="N50" s="5">
        <f t="shared" si="15"/>
        <v>495.82499999999987</v>
      </c>
      <c r="O50" s="5">
        <f>'May 23'!T50</f>
        <v>738.0100000000001</v>
      </c>
      <c r="P50" s="5">
        <f t="shared" si="15"/>
        <v>0</v>
      </c>
      <c r="Q50" s="5">
        <f t="shared" si="15"/>
        <v>0.06</v>
      </c>
      <c r="R50" s="5">
        <f t="shared" si="15"/>
        <v>0</v>
      </c>
      <c r="S50" s="5">
        <f t="shared" si="15"/>
        <v>0</v>
      </c>
      <c r="T50" s="5">
        <f t="shared" si="15"/>
        <v>738.0100000000001</v>
      </c>
      <c r="U50" s="5">
        <f t="shared" si="15"/>
        <v>76223.507099999973</v>
      </c>
    </row>
    <row r="51" spans="1:24" s="4" customFormat="1" ht="38.25" customHeight="1">
      <c r="A51" s="34"/>
      <c r="B51" s="37" t="s">
        <v>57</v>
      </c>
      <c r="C51" s="5">
        <f>'May 23'!H51</f>
        <v>122772.38689999998</v>
      </c>
      <c r="D51" s="5">
        <f t="shared" ref="D51:U51" si="16">D50+D39+D25</f>
        <v>1472.2499999999998</v>
      </c>
      <c r="E51" s="5">
        <f t="shared" si="16"/>
        <v>4822.5480000000007</v>
      </c>
      <c r="F51" s="5">
        <f t="shared" si="16"/>
        <v>0</v>
      </c>
      <c r="G51" s="5">
        <f t="shared" si="16"/>
        <v>14.030000000000001</v>
      </c>
      <c r="H51" s="26">
        <f t="shared" si="16"/>
        <v>124244.63689999998</v>
      </c>
      <c r="I51" s="5">
        <f>'May 23'!N51</f>
        <v>11007.032000000001</v>
      </c>
      <c r="J51" s="5">
        <f t="shared" si="16"/>
        <v>42.505000000000003</v>
      </c>
      <c r="K51" s="5">
        <f t="shared" si="16"/>
        <v>141.14099999999999</v>
      </c>
      <c r="L51" s="5">
        <f t="shared" si="16"/>
        <v>0</v>
      </c>
      <c r="M51" s="5">
        <f t="shared" si="16"/>
        <v>0.49</v>
      </c>
      <c r="N51" s="26">
        <f t="shared" si="16"/>
        <v>11049.537</v>
      </c>
      <c r="O51" s="5">
        <f>'May 23'!T51</f>
        <v>1678.2600000000002</v>
      </c>
      <c r="P51" s="5">
        <f t="shared" si="16"/>
        <v>0.05</v>
      </c>
      <c r="Q51" s="5">
        <f t="shared" si="16"/>
        <v>1.53</v>
      </c>
      <c r="R51" s="5">
        <f t="shared" si="16"/>
        <v>30.8</v>
      </c>
      <c r="S51" s="5">
        <f t="shared" si="16"/>
        <v>31.26</v>
      </c>
      <c r="T51" s="26">
        <f t="shared" si="16"/>
        <v>1647.51</v>
      </c>
      <c r="U51" s="5">
        <f t="shared" si="16"/>
        <v>136941.68389999997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1484.0049999999999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4919.4390000000003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136941.6839</v>
      </c>
      <c r="K56" s="13"/>
      <c r="L56" s="13"/>
      <c r="M56" s="16"/>
      <c r="N56" s="13"/>
      <c r="P56" s="9"/>
      <c r="Q56" s="17"/>
      <c r="U56" s="17"/>
    </row>
    <row r="57" spans="1:24">
      <c r="P57" s="1"/>
      <c r="Q57" s="1"/>
      <c r="R57" s="1"/>
      <c r="S57" s="2"/>
      <c r="T57" s="1"/>
      <c r="U57" s="1"/>
    </row>
  </sheetData>
  <mergeCells count="26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opLeftCell="A37" zoomScale="39" zoomScaleNormal="39" workbookViewId="0">
      <selection activeCell="A49" sqref="A49:XFD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'June 23'!H7</f>
        <v>7.179999999999982</v>
      </c>
      <c r="D7" s="3">
        <v>0</v>
      </c>
      <c r="E7" s="3">
        <f>'June 23'!E7+'July 2023'!D7</f>
        <v>0</v>
      </c>
      <c r="F7" s="3">
        <v>0</v>
      </c>
      <c r="G7" s="3">
        <f>'June 23'!G7+'July 2023'!F7</f>
        <v>0</v>
      </c>
      <c r="H7" s="3">
        <f>C7+D7-F7</f>
        <v>7.179999999999982</v>
      </c>
      <c r="I7" s="3">
        <f>'June 23'!N7</f>
        <v>721.50699999999972</v>
      </c>
      <c r="J7" s="3">
        <v>1.5</v>
      </c>
      <c r="K7" s="3">
        <f>'June 23'!K7+'July 2023'!J7</f>
        <v>8.5500000000000007</v>
      </c>
      <c r="L7" s="3">
        <v>0</v>
      </c>
      <c r="M7" s="3">
        <f>'June 23'!M7+'July 2023'!L7</f>
        <v>0</v>
      </c>
      <c r="N7" s="3">
        <f>I7+J7-L7</f>
        <v>723.00699999999972</v>
      </c>
      <c r="O7" s="3">
        <f>'June 23'!T7</f>
        <v>8.436000000000007</v>
      </c>
      <c r="P7" s="3">
        <v>0</v>
      </c>
      <c r="Q7" s="3">
        <f>'June 23'!Q7+'July 2023'!P7</f>
        <v>0</v>
      </c>
      <c r="R7" s="3">
        <v>0</v>
      </c>
      <c r="S7" s="3">
        <f>'June 23'!S7+'July 2023'!R7</f>
        <v>0</v>
      </c>
      <c r="T7" s="3">
        <f>O7+P7-R7</f>
        <v>8.436000000000007</v>
      </c>
      <c r="U7" s="3">
        <f>H7+N7+T7</f>
        <v>738.62299999999971</v>
      </c>
    </row>
    <row r="8" spans="1:22" ht="38.25" customHeight="1">
      <c r="A8" s="35">
        <v>2</v>
      </c>
      <c r="B8" s="38" t="s">
        <v>14</v>
      </c>
      <c r="C8" s="3">
        <f>'June 23'!H8</f>
        <v>265.98999999999995</v>
      </c>
      <c r="D8" s="3">
        <v>0</v>
      </c>
      <c r="E8" s="3">
        <f>'June 23'!E8+'July 2023'!D8</f>
        <v>0</v>
      </c>
      <c r="F8" s="3">
        <v>0</v>
      </c>
      <c r="G8" s="3">
        <f>'June 23'!G8+'July 2023'!F8</f>
        <v>0</v>
      </c>
      <c r="H8" s="3">
        <f t="shared" ref="H8:H48" si="0">C8+D8-F8</f>
        <v>265.98999999999995</v>
      </c>
      <c r="I8" s="3">
        <f>'June 23'!N8</f>
        <v>431.59100000000012</v>
      </c>
      <c r="J8" s="3">
        <v>9.0050000000000008</v>
      </c>
      <c r="K8" s="3">
        <f>'June 23'!K8+'July 2023'!J8</f>
        <v>42.45000000000001</v>
      </c>
      <c r="L8" s="3">
        <v>0</v>
      </c>
      <c r="M8" s="3">
        <f>'June 23'!M8+'July 2023'!L8</f>
        <v>0</v>
      </c>
      <c r="N8" s="3">
        <f t="shared" ref="N8:N48" si="1">I8+J8-L8</f>
        <v>440.59600000000012</v>
      </c>
      <c r="O8" s="3">
        <f>'June 23'!T8</f>
        <v>66.290000000000006</v>
      </c>
      <c r="P8" s="3">
        <v>0</v>
      </c>
      <c r="Q8" s="3">
        <f>'June 23'!Q8+'July 2023'!P8</f>
        <v>0</v>
      </c>
      <c r="R8" s="3">
        <v>0</v>
      </c>
      <c r="S8" s="3">
        <f>'June 23'!S8+'July 2023'!R8</f>
        <v>0</v>
      </c>
      <c r="T8" s="3">
        <f t="shared" ref="T8:T48" si="2">O8+P8-R8</f>
        <v>66.290000000000006</v>
      </c>
      <c r="U8" s="3">
        <f t="shared" ref="U8:U48" si="3">H8+N8+T8</f>
        <v>772.87599999999998</v>
      </c>
    </row>
    <row r="9" spans="1:22" ht="38.25" customHeight="1">
      <c r="A9" s="35">
        <v>3</v>
      </c>
      <c r="B9" s="38" t="s">
        <v>15</v>
      </c>
      <c r="C9" s="3">
        <f>'June 23'!H9</f>
        <v>209.16</v>
      </c>
      <c r="D9" s="3">
        <v>0</v>
      </c>
      <c r="E9" s="3">
        <f>'June 23'!E9+'July 2023'!D9</f>
        <v>0</v>
      </c>
      <c r="F9" s="3">
        <v>0</v>
      </c>
      <c r="G9" s="3">
        <f>'June 23'!G9+'July 2023'!F9</f>
        <v>0</v>
      </c>
      <c r="H9" s="3">
        <f t="shared" si="0"/>
        <v>209.16</v>
      </c>
      <c r="I9" s="3">
        <f>'June 23'!N9</f>
        <v>923.49799999999993</v>
      </c>
      <c r="J9" s="3">
        <v>5.56</v>
      </c>
      <c r="K9" s="3">
        <f>'June 23'!K9+'July 2023'!J9</f>
        <v>25.81</v>
      </c>
      <c r="L9" s="3">
        <v>0</v>
      </c>
      <c r="M9" s="3">
        <f>'June 23'!M9+'July 2023'!L9</f>
        <v>0</v>
      </c>
      <c r="N9" s="3">
        <f t="shared" si="1"/>
        <v>929.05799999999988</v>
      </c>
      <c r="O9" s="3">
        <f>'June 23'!T9</f>
        <v>44.739999999999995</v>
      </c>
      <c r="P9" s="3">
        <v>0</v>
      </c>
      <c r="Q9" s="3">
        <f>'June 23'!Q9+'July 2023'!P9</f>
        <v>0</v>
      </c>
      <c r="R9" s="3">
        <v>0</v>
      </c>
      <c r="S9" s="3">
        <f>'June 23'!S9+'July 2023'!R9</f>
        <v>0</v>
      </c>
      <c r="T9" s="3">
        <f t="shared" si="2"/>
        <v>44.739999999999995</v>
      </c>
      <c r="U9" s="3">
        <f t="shared" si="3"/>
        <v>1182.9579999999999</v>
      </c>
    </row>
    <row r="10" spans="1:22" s="4" customFormat="1" ht="38.25" customHeight="1">
      <c r="A10" s="35">
        <v>4</v>
      </c>
      <c r="B10" s="38" t="s">
        <v>16</v>
      </c>
      <c r="C10" s="3">
        <f>'June 23'!H10</f>
        <v>0</v>
      </c>
      <c r="D10" s="3">
        <v>0</v>
      </c>
      <c r="E10" s="3">
        <f>'June 23'!E10+'July 2023'!D10</f>
        <v>0</v>
      </c>
      <c r="F10" s="3">
        <v>0</v>
      </c>
      <c r="G10" s="3">
        <f>'June 23'!G10+'July 2023'!F10</f>
        <v>0</v>
      </c>
      <c r="H10" s="3">
        <f t="shared" si="0"/>
        <v>0</v>
      </c>
      <c r="I10" s="3">
        <f>'June 23'!N10</f>
        <v>368.00099999999986</v>
      </c>
      <c r="J10" s="3">
        <v>0.13</v>
      </c>
      <c r="K10" s="3">
        <f>'June 23'!K10+'July 2023'!J10</f>
        <v>3.1580000000000004</v>
      </c>
      <c r="L10" s="3">
        <v>0</v>
      </c>
      <c r="M10" s="3">
        <f>'June 23'!M10+'July 2023'!L10</f>
        <v>0</v>
      </c>
      <c r="N10" s="3">
        <f t="shared" si="1"/>
        <v>368.13099999999986</v>
      </c>
      <c r="O10" s="3">
        <f>'June 23'!T10</f>
        <v>0.20000000000000007</v>
      </c>
      <c r="P10" s="3">
        <v>0</v>
      </c>
      <c r="Q10" s="3">
        <f>'June 23'!Q10+'July 2023'!P10</f>
        <v>0</v>
      </c>
      <c r="R10" s="3">
        <v>0</v>
      </c>
      <c r="S10" s="3">
        <f>'June 23'!S10+'July 2023'!R10</f>
        <v>0</v>
      </c>
      <c r="T10" s="3">
        <f t="shared" si="2"/>
        <v>0.20000000000000007</v>
      </c>
      <c r="U10" s="3">
        <f t="shared" si="3"/>
        <v>368.33099999999985</v>
      </c>
    </row>
    <row r="11" spans="1:22" s="4" customFormat="1" ht="38.25" customHeight="1">
      <c r="A11" s="34"/>
      <c r="B11" s="37" t="s">
        <v>17</v>
      </c>
      <c r="C11" s="5">
        <f>'June 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'June 23'!N11</f>
        <v>2444.5969999999998</v>
      </c>
      <c r="J11" s="5">
        <f t="shared" si="4"/>
        <v>16.195</v>
      </c>
      <c r="K11" s="5">
        <f t="shared" si="4"/>
        <v>79.968000000000018</v>
      </c>
      <c r="L11" s="5">
        <f t="shared" si="4"/>
        <v>0</v>
      </c>
      <c r="M11" s="5">
        <f t="shared" si="4"/>
        <v>0</v>
      </c>
      <c r="N11" s="5">
        <f t="shared" si="4"/>
        <v>2460.7919999999995</v>
      </c>
      <c r="O11" s="5">
        <f>'June 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3062.7879999999991</v>
      </c>
      <c r="V11" s="5"/>
    </row>
    <row r="12" spans="1:22" ht="38.25" customHeight="1">
      <c r="A12" s="35">
        <v>5</v>
      </c>
      <c r="B12" s="38" t="s">
        <v>18</v>
      </c>
      <c r="C12" s="3">
        <f>'June 23'!H12</f>
        <v>22.179999999999609</v>
      </c>
      <c r="D12" s="3">
        <v>0</v>
      </c>
      <c r="E12" s="3">
        <f>'June 23'!E12+'July 2023'!D12</f>
        <v>0</v>
      </c>
      <c r="F12" s="3">
        <v>0</v>
      </c>
      <c r="G12" s="3">
        <f>'June 23'!G12+'July 2023'!F12</f>
        <v>0</v>
      </c>
      <c r="H12" s="3">
        <f t="shared" si="0"/>
        <v>22.179999999999609</v>
      </c>
      <c r="I12" s="3">
        <f>'June 23'!N12</f>
        <v>1287.8449999999998</v>
      </c>
      <c r="J12" s="25">
        <v>1.47</v>
      </c>
      <c r="K12" s="3">
        <f>'June 23'!K12+'July 2023'!J12</f>
        <v>12.88</v>
      </c>
      <c r="L12" s="3">
        <v>0</v>
      </c>
      <c r="M12" s="3">
        <f>'June 23'!M12+'July 2023'!L12</f>
        <v>0</v>
      </c>
      <c r="N12" s="3">
        <f t="shared" si="1"/>
        <v>1289.3149999999998</v>
      </c>
      <c r="O12" s="3">
        <f>'June 23'!T12</f>
        <v>1.9700000000000095</v>
      </c>
      <c r="P12" s="3">
        <v>0</v>
      </c>
      <c r="Q12" s="3">
        <f>'June 23'!Q12+'July 2023'!P12</f>
        <v>0</v>
      </c>
      <c r="R12" s="3">
        <v>0</v>
      </c>
      <c r="S12" s="3">
        <f>'June 23'!S12+'July 2023'!R12</f>
        <v>0</v>
      </c>
      <c r="T12" s="3">
        <f t="shared" si="2"/>
        <v>1.9700000000000095</v>
      </c>
      <c r="U12" s="3">
        <f t="shared" si="3"/>
        <v>1313.4649999999995</v>
      </c>
    </row>
    <row r="13" spans="1:22" ht="38.25" customHeight="1">
      <c r="A13" s="35">
        <v>6</v>
      </c>
      <c r="B13" s="38" t="s">
        <v>19</v>
      </c>
      <c r="C13" s="3">
        <f>'June 23'!H13</f>
        <v>312.23000000000013</v>
      </c>
      <c r="D13" s="3">
        <v>0</v>
      </c>
      <c r="E13" s="3">
        <f>'June 23'!E13+'July 2023'!D13</f>
        <v>0</v>
      </c>
      <c r="F13" s="3">
        <v>0</v>
      </c>
      <c r="G13" s="3">
        <f>'June 23'!G13+'July 2023'!F13</f>
        <v>0</v>
      </c>
      <c r="H13" s="3">
        <f t="shared" si="0"/>
        <v>312.23000000000013</v>
      </c>
      <c r="I13" s="3">
        <f>'June 23'!N13</f>
        <v>551.08200000000022</v>
      </c>
      <c r="J13" s="25">
        <v>0.94</v>
      </c>
      <c r="K13" s="3">
        <f>'June 23'!K13+'July 2023'!J13</f>
        <v>6.49</v>
      </c>
      <c r="L13" s="3">
        <v>0</v>
      </c>
      <c r="M13" s="3">
        <f>'June 23'!M13+'July 2023'!L13</f>
        <v>0</v>
      </c>
      <c r="N13" s="3">
        <f t="shared" si="1"/>
        <v>552.02200000000028</v>
      </c>
      <c r="O13" s="3">
        <f>'June 23'!T13</f>
        <v>68.39</v>
      </c>
      <c r="P13" s="3">
        <v>0</v>
      </c>
      <c r="Q13" s="3">
        <f>'June 23'!Q13+'July 2023'!P13</f>
        <v>0</v>
      </c>
      <c r="R13" s="3">
        <v>0</v>
      </c>
      <c r="S13" s="3">
        <f>'June 23'!S13+'July 2023'!R13</f>
        <v>0</v>
      </c>
      <c r="T13" s="3">
        <f t="shared" si="2"/>
        <v>68.39</v>
      </c>
      <c r="U13" s="3">
        <f t="shared" si="3"/>
        <v>932.64200000000039</v>
      </c>
    </row>
    <row r="14" spans="1:22" s="4" customFormat="1" ht="38.25" customHeight="1">
      <c r="A14" s="35">
        <v>7</v>
      </c>
      <c r="B14" s="38" t="s">
        <v>20</v>
      </c>
      <c r="C14" s="3">
        <f>'June 23'!H14</f>
        <v>1216.4399999999994</v>
      </c>
      <c r="D14" s="3">
        <v>0</v>
      </c>
      <c r="E14" s="3">
        <f>'June 23'!E14+'July 2023'!D14</f>
        <v>0</v>
      </c>
      <c r="F14" s="3">
        <v>0</v>
      </c>
      <c r="G14" s="3">
        <f>'June 23'!G14+'July 2023'!F14</f>
        <v>0</v>
      </c>
      <c r="H14" s="3">
        <f t="shared" si="0"/>
        <v>1216.4399999999994</v>
      </c>
      <c r="I14" s="3">
        <f>'June 23'!N14</f>
        <v>921.07800000000032</v>
      </c>
      <c r="J14" s="25">
        <v>2.19</v>
      </c>
      <c r="K14" s="3">
        <f>'June 23'!K14+'July 2023'!J14</f>
        <v>19.77</v>
      </c>
      <c r="L14" s="3">
        <v>0</v>
      </c>
      <c r="M14" s="3">
        <f>'June 23'!M14+'July 2023'!L14</f>
        <v>0</v>
      </c>
      <c r="N14" s="3">
        <f t="shared" si="1"/>
        <v>923.26800000000037</v>
      </c>
      <c r="O14" s="3">
        <f>'June 23'!T14</f>
        <v>61.329999999999991</v>
      </c>
      <c r="P14" s="3">
        <v>0</v>
      </c>
      <c r="Q14" s="3">
        <f>'June 23'!Q14+'July 2023'!P14</f>
        <v>0</v>
      </c>
      <c r="R14" s="3">
        <v>0</v>
      </c>
      <c r="S14" s="3">
        <f>'June 23'!S14+'July 2023'!R14</f>
        <v>0</v>
      </c>
      <c r="T14" s="3">
        <f t="shared" si="2"/>
        <v>61.329999999999991</v>
      </c>
      <c r="U14" s="3">
        <f t="shared" si="3"/>
        <v>2201.0379999999996</v>
      </c>
    </row>
    <row r="15" spans="1:22" s="4" customFormat="1" ht="38.25" customHeight="1">
      <c r="A15" s="34"/>
      <c r="B15" s="37" t="s">
        <v>21</v>
      </c>
      <c r="C15" s="5">
        <f>'June 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1550.849999999999</v>
      </c>
      <c r="I15" s="5">
        <f>'June 23'!N15</f>
        <v>2760.0050000000006</v>
      </c>
      <c r="J15" s="5">
        <f t="shared" si="5"/>
        <v>4.5999999999999996</v>
      </c>
      <c r="K15" s="5">
        <f t="shared" si="5"/>
        <v>39.14</v>
      </c>
      <c r="L15" s="5">
        <f t="shared" si="5"/>
        <v>0</v>
      </c>
      <c r="M15" s="5">
        <f t="shared" si="5"/>
        <v>0</v>
      </c>
      <c r="N15" s="5">
        <f t="shared" si="5"/>
        <v>2764.6050000000005</v>
      </c>
      <c r="O15" s="5">
        <f>'June 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4447.1449999999995</v>
      </c>
      <c r="V15" s="5"/>
    </row>
    <row r="16" spans="1:22" s="6" customFormat="1" ht="38.25" customHeight="1">
      <c r="A16" s="35">
        <v>8</v>
      </c>
      <c r="B16" s="38" t="s">
        <v>22</v>
      </c>
      <c r="C16" s="3">
        <f>'June 23'!H16</f>
        <v>753.87400000000036</v>
      </c>
      <c r="D16" s="3">
        <v>5.35</v>
      </c>
      <c r="E16" s="3">
        <f>'June 23'!E16+'July 2023'!D16</f>
        <v>7.2899999999999991</v>
      </c>
      <c r="F16" s="3">
        <v>0</v>
      </c>
      <c r="G16" s="3">
        <f>'June 23'!G16+'July 2023'!F16</f>
        <v>4.2300000000000004</v>
      </c>
      <c r="H16" s="3">
        <f t="shared" si="0"/>
        <v>759.22400000000039</v>
      </c>
      <c r="I16" s="3">
        <f>'June 23'!N16</f>
        <v>579.8760000000002</v>
      </c>
      <c r="J16" s="3">
        <v>0.69</v>
      </c>
      <c r="K16" s="3">
        <f>'June 23'!K16+'July 2023'!J16</f>
        <v>3.59</v>
      </c>
      <c r="L16" s="3">
        <v>0</v>
      </c>
      <c r="M16" s="3">
        <f>'June 23'!M16+'July 2023'!L16</f>
        <v>0</v>
      </c>
      <c r="N16" s="3">
        <f t="shared" si="1"/>
        <v>580.56600000000026</v>
      </c>
      <c r="O16" s="3">
        <f>'June 23'!T16</f>
        <v>146.69200000000004</v>
      </c>
      <c r="P16" s="3">
        <v>0</v>
      </c>
      <c r="Q16" s="3">
        <f>'June 23'!Q16+'July 2023'!P16</f>
        <v>0.08</v>
      </c>
      <c r="R16" s="3">
        <v>0</v>
      </c>
      <c r="S16" s="3">
        <f>'June 23'!S16+'July 2023'!R16</f>
        <v>30.830000000000002</v>
      </c>
      <c r="T16" s="3">
        <f t="shared" si="2"/>
        <v>146.69200000000004</v>
      </c>
      <c r="U16" s="3">
        <f t="shared" si="3"/>
        <v>1486.4820000000007</v>
      </c>
    </row>
    <row r="17" spans="1:23" ht="61.5" customHeight="1">
      <c r="A17" s="7">
        <v>9</v>
      </c>
      <c r="B17" s="8" t="s">
        <v>23</v>
      </c>
      <c r="C17" s="3">
        <f>'June 23'!H17</f>
        <v>2.7259999999999476</v>
      </c>
      <c r="D17" s="3">
        <v>0</v>
      </c>
      <c r="E17" s="3">
        <f>'June 23'!E17+'July 2023'!D17</f>
        <v>0.05</v>
      </c>
      <c r="F17" s="3">
        <v>0</v>
      </c>
      <c r="G17" s="3">
        <f>'June 23'!G17+'July 2023'!F17</f>
        <v>0</v>
      </c>
      <c r="H17" s="3">
        <f t="shared" si="0"/>
        <v>2.7259999999999476</v>
      </c>
      <c r="I17" s="3">
        <f>'June 23'!N17</f>
        <v>600.31000000000006</v>
      </c>
      <c r="J17" s="3">
        <v>1.76</v>
      </c>
      <c r="K17" s="3">
        <f>'June 23'!K17+'July 2023'!J17</f>
        <v>13.38</v>
      </c>
      <c r="L17" s="3">
        <v>0</v>
      </c>
      <c r="M17" s="3">
        <f>'June 23'!M17+'July 2023'!L17</f>
        <v>0.43</v>
      </c>
      <c r="N17" s="3">
        <f t="shared" si="1"/>
        <v>602.07000000000005</v>
      </c>
      <c r="O17" s="3">
        <f>'June 23'!T17</f>
        <v>2.7399999999999998</v>
      </c>
      <c r="P17" s="3">
        <v>0</v>
      </c>
      <c r="Q17" s="3">
        <f>'June 23'!Q17+'July 2023'!P17</f>
        <v>1.22</v>
      </c>
      <c r="R17" s="3">
        <v>0</v>
      </c>
      <c r="S17" s="3">
        <f>'June 23'!S17+'July 2023'!R17</f>
        <v>0.43</v>
      </c>
      <c r="T17" s="3">
        <f t="shared" si="2"/>
        <v>2.7399999999999998</v>
      </c>
      <c r="U17" s="3">
        <f t="shared" si="3"/>
        <v>607.53600000000006</v>
      </c>
    </row>
    <row r="18" spans="1:23" s="4" customFormat="1" ht="38.25" customHeight="1">
      <c r="A18" s="35">
        <v>10</v>
      </c>
      <c r="B18" s="38" t="s">
        <v>24</v>
      </c>
      <c r="C18" s="3">
        <f>'June 23'!H18</f>
        <v>90.266000000000147</v>
      </c>
      <c r="D18" s="3">
        <v>0</v>
      </c>
      <c r="E18" s="3">
        <f>'June 23'!E18+'July 2023'!D18</f>
        <v>0.05</v>
      </c>
      <c r="F18" s="3">
        <v>0</v>
      </c>
      <c r="G18" s="3">
        <f>'June 23'!G18+'July 2023'!F18</f>
        <v>0.05</v>
      </c>
      <c r="H18" s="3">
        <f t="shared" si="0"/>
        <v>90.266000000000147</v>
      </c>
      <c r="I18" s="3">
        <f>'June 23'!N18</f>
        <v>620.81000000000006</v>
      </c>
      <c r="J18" s="3">
        <v>1.04</v>
      </c>
      <c r="K18" s="3">
        <f>'June 23'!K18+'July 2023'!J18</f>
        <v>4.5549999999999997</v>
      </c>
      <c r="L18" s="3">
        <v>0</v>
      </c>
      <c r="M18" s="3">
        <f>'June 23'!M18+'July 2023'!L18</f>
        <v>0</v>
      </c>
      <c r="N18" s="3">
        <f t="shared" si="1"/>
        <v>621.85</v>
      </c>
      <c r="O18" s="3">
        <f>'June 23'!T18</f>
        <v>35.689999999999991</v>
      </c>
      <c r="P18" s="3">
        <v>0</v>
      </c>
      <c r="Q18" s="3">
        <f>'June 23'!Q18+'July 2023'!P18</f>
        <v>0</v>
      </c>
      <c r="R18" s="3">
        <v>0</v>
      </c>
      <c r="S18" s="3">
        <f>'June 23'!S18+'July 2023'!R18</f>
        <v>0</v>
      </c>
      <c r="T18" s="3">
        <f t="shared" si="2"/>
        <v>35.689999999999991</v>
      </c>
      <c r="U18" s="3">
        <f t="shared" si="3"/>
        <v>747.80600000000015</v>
      </c>
    </row>
    <row r="19" spans="1:23" s="4" customFormat="1" ht="38.25" customHeight="1">
      <c r="A19" s="34"/>
      <c r="B19" s="37" t="s">
        <v>25</v>
      </c>
      <c r="C19" s="5">
        <f>'June 23'!H19</f>
        <v>846.86600000000055</v>
      </c>
      <c r="D19" s="5">
        <f t="shared" ref="D19:U19" si="6">SUM(D16:D18)</f>
        <v>5.35</v>
      </c>
      <c r="E19" s="5">
        <f t="shared" si="6"/>
        <v>7.3899999999999988</v>
      </c>
      <c r="F19" s="5">
        <f t="shared" si="6"/>
        <v>0</v>
      </c>
      <c r="G19" s="5">
        <f t="shared" si="6"/>
        <v>4.28</v>
      </c>
      <c r="H19" s="5">
        <f t="shared" si="6"/>
        <v>852.21600000000058</v>
      </c>
      <c r="I19" s="5">
        <f>'June 23'!N19</f>
        <v>1800.9960000000001</v>
      </c>
      <c r="J19" s="5">
        <f t="shared" si="6"/>
        <v>3.49</v>
      </c>
      <c r="K19" s="5">
        <f t="shared" si="6"/>
        <v>21.524999999999999</v>
      </c>
      <c r="L19" s="5">
        <f t="shared" si="6"/>
        <v>0</v>
      </c>
      <c r="M19" s="5">
        <f t="shared" si="6"/>
        <v>0.43</v>
      </c>
      <c r="N19" s="5">
        <f t="shared" si="6"/>
        <v>1804.4860000000003</v>
      </c>
      <c r="O19" s="5">
        <f>'June 23'!T19</f>
        <v>185.12200000000004</v>
      </c>
      <c r="P19" s="5">
        <f t="shared" si="6"/>
        <v>0</v>
      </c>
      <c r="Q19" s="5">
        <f t="shared" si="6"/>
        <v>1.3</v>
      </c>
      <c r="R19" s="5">
        <f t="shared" si="6"/>
        <v>0</v>
      </c>
      <c r="S19" s="5">
        <f t="shared" si="6"/>
        <v>31.26</v>
      </c>
      <c r="T19" s="5">
        <f t="shared" si="6"/>
        <v>185.12200000000004</v>
      </c>
      <c r="U19" s="5">
        <f t="shared" si="6"/>
        <v>2841.824000000001</v>
      </c>
    </row>
    <row r="20" spans="1:23" ht="38.25" customHeight="1">
      <c r="A20" s="35">
        <v>11</v>
      </c>
      <c r="B20" s="38" t="s">
        <v>26</v>
      </c>
      <c r="C20" s="3">
        <f>'June 23'!H20</f>
        <v>607.42999999999984</v>
      </c>
      <c r="D20" s="3">
        <v>0</v>
      </c>
      <c r="E20" s="3">
        <f>'June 23'!E20+'July 2023'!D20</f>
        <v>0</v>
      </c>
      <c r="F20" s="3">
        <v>0</v>
      </c>
      <c r="G20" s="3">
        <f>'June 23'!G20+'July 2023'!F20</f>
        <v>0</v>
      </c>
      <c r="H20" s="3">
        <f t="shared" si="0"/>
        <v>607.42999999999984</v>
      </c>
      <c r="I20" s="3">
        <f>'June 23'!N20</f>
        <v>753.06800000000021</v>
      </c>
      <c r="J20" s="3">
        <v>3.93</v>
      </c>
      <c r="K20" s="3">
        <f>'June 23'!K20+'July 2023'!J20</f>
        <v>8.61</v>
      </c>
      <c r="L20" s="3">
        <v>0</v>
      </c>
      <c r="M20" s="3">
        <f>'June 23'!M20+'July 2023'!L20</f>
        <v>0.02</v>
      </c>
      <c r="N20" s="3">
        <f t="shared" si="1"/>
        <v>756.99800000000016</v>
      </c>
      <c r="O20" s="3">
        <f>'June 23'!T20</f>
        <v>37.580000000000005</v>
      </c>
      <c r="P20" s="3">
        <v>0</v>
      </c>
      <c r="Q20" s="3">
        <f>'June 23'!Q20+'July 2023'!P20</f>
        <v>0</v>
      </c>
      <c r="R20" s="3">
        <v>0</v>
      </c>
      <c r="S20" s="3">
        <f>'June 23'!S20+'July 2023'!R20</f>
        <v>0</v>
      </c>
      <c r="T20" s="3">
        <f t="shared" si="2"/>
        <v>37.580000000000005</v>
      </c>
      <c r="U20" s="3">
        <f t="shared" si="3"/>
        <v>1402.0079999999998</v>
      </c>
      <c r="W20" s="90"/>
    </row>
    <row r="21" spans="1:23" ht="38.25" customHeight="1">
      <c r="A21" s="35">
        <v>12</v>
      </c>
      <c r="B21" s="38" t="s">
        <v>27</v>
      </c>
      <c r="C21" s="3">
        <f>'June 23'!H21</f>
        <v>2.0700000000000003</v>
      </c>
      <c r="D21" s="3">
        <v>0</v>
      </c>
      <c r="E21" s="3">
        <f>'June 23'!E21+'July 2023'!D21</f>
        <v>0</v>
      </c>
      <c r="F21" s="3">
        <v>0.87</v>
      </c>
      <c r="G21" s="3">
        <f>'June 23'!G21+'July 2023'!F21</f>
        <v>0.87</v>
      </c>
      <c r="H21" s="3">
        <f t="shared" si="0"/>
        <v>1.2000000000000002</v>
      </c>
      <c r="I21" s="3">
        <f>'June 23'!N21</f>
        <v>465.2170000000001</v>
      </c>
      <c r="J21" s="3">
        <v>0.8</v>
      </c>
      <c r="K21" s="3">
        <f>'June 23'!K21+'July 2023'!J21</f>
        <v>4.6100000000000003</v>
      </c>
      <c r="L21" s="3">
        <v>0</v>
      </c>
      <c r="M21" s="3">
        <f>'June 23'!M21+'July 2023'!L21</f>
        <v>0.02</v>
      </c>
      <c r="N21" s="3">
        <f t="shared" si="1"/>
        <v>466.01700000000011</v>
      </c>
      <c r="O21" s="3">
        <f>'June 23'!T21</f>
        <v>18.889999999999993</v>
      </c>
      <c r="P21" s="3">
        <v>0</v>
      </c>
      <c r="Q21" s="3">
        <f>'June 23'!Q21+'July 2023'!P21</f>
        <v>0</v>
      </c>
      <c r="R21" s="3">
        <v>16.239999999999998</v>
      </c>
      <c r="S21" s="3">
        <f>'June 23'!S21+'July 2023'!R21</f>
        <v>16.239999999999998</v>
      </c>
      <c r="T21" s="3">
        <f t="shared" si="2"/>
        <v>2.649999999999995</v>
      </c>
      <c r="U21" s="3">
        <f t="shared" si="3"/>
        <v>469.86700000000008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'June 23'!H22</f>
        <v>22.430000000000021</v>
      </c>
      <c r="D22" s="3">
        <v>0</v>
      </c>
      <c r="E22" s="3">
        <f>'June 23'!E22+'July 2023'!D22</f>
        <v>0</v>
      </c>
      <c r="F22" s="3">
        <v>0</v>
      </c>
      <c r="G22" s="3">
        <f>'June 23'!G22+'July 2023'!F22</f>
        <v>0</v>
      </c>
      <c r="H22" s="3">
        <f t="shared" si="0"/>
        <v>22.430000000000021</v>
      </c>
      <c r="I22" s="3">
        <f>'June 23'!N22</f>
        <v>699.40000000000009</v>
      </c>
      <c r="J22" s="3">
        <v>0.56000000000000005</v>
      </c>
      <c r="K22" s="3">
        <f>'June 23'!K22+'July 2023'!J22</f>
        <v>1.7400000000000002</v>
      </c>
      <c r="L22" s="3">
        <v>0</v>
      </c>
      <c r="M22" s="3">
        <f>'June 23'!M22+'July 2023'!L22</f>
        <v>0</v>
      </c>
      <c r="N22" s="3">
        <f t="shared" si="1"/>
        <v>699.96</v>
      </c>
      <c r="O22" s="3">
        <f>'June 23'!T22</f>
        <v>0.60000000000000098</v>
      </c>
      <c r="P22" s="3">
        <v>0</v>
      </c>
      <c r="Q22" s="3">
        <f>'June 23'!Q22+'July 2023'!P22</f>
        <v>0</v>
      </c>
      <c r="R22" s="3">
        <v>0</v>
      </c>
      <c r="S22" s="3">
        <f>'June 23'!S22+'July 2023'!R22</f>
        <v>0</v>
      </c>
      <c r="T22" s="3">
        <f t="shared" si="2"/>
        <v>0.60000000000000098</v>
      </c>
      <c r="U22" s="3">
        <f t="shared" si="3"/>
        <v>722.99000000000012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'June 23'!H23</f>
        <v>432.16999999999996</v>
      </c>
      <c r="D23" s="3">
        <v>0</v>
      </c>
      <c r="E23" s="3">
        <f>'June 23'!E23+'July 2023'!D23</f>
        <v>1.53</v>
      </c>
      <c r="F23" s="3">
        <v>0</v>
      </c>
      <c r="G23" s="3">
        <f>'June 23'!G23+'July 2023'!F23</f>
        <v>0</v>
      </c>
      <c r="H23" s="3">
        <f t="shared" si="0"/>
        <v>432.16999999999996</v>
      </c>
      <c r="I23" s="3">
        <f>'June 23'!N23</f>
        <v>143.18499999999997</v>
      </c>
      <c r="J23" s="3">
        <v>0.44</v>
      </c>
      <c r="K23" s="3">
        <f>'June 23'!K23+'July 2023'!J23</f>
        <v>4.07</v>
      </c>
      <c r="L23" s="3">
        <v>0</v>
      </c>
      <c r="M23" s="3">
        <f>'June 23'!M23+'July 2023'!L23</f>
        <v>0</v>
      </c>
      <c r="N23" s="3">
        <f t="shared" si="1"/>
        <v>143.62499999999997</v>
      </c>
      <c r="O23" s="3">
        <f>'June 23'!T23</f>
        <v>22.5</v>
      </c>
      <c r="P23" s="3">
        <v>0</v>
      </c>
      <c r="Q23" s="3">
        <f>'June 23'!Q23+'July 2023'!P23</f>
        <v>0</v>
      </c>
      <c r="R23" s="3">
        <v>0</v>
      </c>
      <c r="S23" s="3">
        <f>'June 23'!S23+'July 2023'!R23</f>
        <v>0</v>
      </c>
      <c r="T23" s="3">
        <f t="shared" si="2"/>
        <v>22.5</v>
      </c>
      <c r="U23" s="3">
        <f t="shared" si="3"/>
        <v>598.29499999999996</v>
      </c>
      <c r="W23" s="90"/>
    </row>
    <row r="24" spans="1:23" s="4" customFormat="1" ht="38.25" customHeight="1">
      <c r="A24" s="34"/>
      <c r="B24" s="37" t="s">
        <v>30</v>
      </c>
      <c r="C24" s="5">
        <f>'June 23'!H24</f>
        <v>1064.0999999999999</v>
      </c>
      <c r="D24" s="5">
        <f t="shared" ref="D24:U24" si="7">SUM(D20:D23)</f>
        <v>0</v>
      </c>
      <c r="E24" s="5">
        <f t="shared" si="7"/>
        <v>1.53</v>
      </c>
      <c r="F24" s="5">
        <f t="shared" si="7"/>
        <v>0.87</v>
      </c>
      <c r="G24" s="5">
        <f t="shared" si="7"/>
        <v>0.87</v>
      </c>
      <c r="H24" s="5">
        <f t="shared" si="7"/>
        <v>1063.23</v>
      </c>
      <c r="I24" s="5">
        <f>'June 23'!N24</f>
        <v>2060.8700000000003</v>
      </c>
      <c r="J24" s="5">
        <f t="shared" si="7"/>
        <v>5.7300000000000013</v>
      </c>
      <c r="K24" s="5">
        <f t="shared" si="7"/>
        <v>19.03</v>
      </c>
      <c r="L24" s="5">
        <f t="shared" si="7"/>
        <v>0</v>
      </c>
      <c r="M24" s="5">
        <f t="shared" si="7"/>
        <v>0.04</v>
      </c>
      <c r="N24" s="5">
        <f t="shared" si="7"/>
        <v>2066.6000000000004</v>
      </c>
      <c r="O24" s="5">
        <f>'June 23'!T24</f>
        <v>79.569999999999993</v>
      </c>
      <c r="P24" s="5">
        <f t="shared" si="7"/>
        <v>0</v>
      </c>
      <c r="Q24" s="5">
        <f t="shared" si="7"/>
        <v>0</v>
      </c>
      <c r="R24" s="5">
        <f t="shared" si="7"/>
        <v>16.239999999999998</v>
      </c>
      <c r="S24" s="5">
        <f t="shared" si="7"/>
        <v>16.239999999999998</v>
      </c>
      <c r="T24" s="5">
        <f t="shared" si="7"/>
        <v>63.330000000000005</v>
      </c>
      <c r="U24" s="5">
        <f t="shared" si="7"/>
        <v>3193.1600000000003</v>
      </c>
    </row>
    <row r="25" spans="1:23" s="4" customFormat="1" ht="38.25" customHeight="1">
      <c r="A25" s="34"/>
      <c r="B25" s="37" t="s">
        <v>31</v>
      </c>
      <c r="C25" s="5">
        <f>'June 23'!H25</f>
        <v>3944.1459999999993</v>
      </c>
      <c r="D25" s="5">
        <f t="shared" ref="D25:U25" si="8">D24+D19+D15+D11</f>
        <v>5.35</v>
      </c>
      <c r="E25" s="5">
        <f t="shared" si="8"/>
        <v>8.9199999999999982</v>
      </c>
      <c r="F25" s="5">
        <f t="shared" si="8"/>
        <v>0.87</v>
      </c>
      <c r="G25" s="5">
        <f t="shared" si="8"/>
        <v>5.15</v>
      </c>
      <c r="H25" s="5">
        <f t="shared" si="8"/>
        <v>3948.6259999999993</v>
      </c>
      <c r="I25" s="5">
        <f>'June 23'!N25</f>
        <v>9066.4680000000008</v>
      </c>
      <c r="J25" s="5">
        <f t="shared" si="8"/>
        <v>30.015000000000001</v>
      </c>
      <c r="K25" s="5">
        <f t="shared" si="8"/>
        <v>159.66300000000001</v>
      </c>
      <c r="L25" s="5">
        <f t="shared" si="8"/>
        <v>0</v>
      </c>
      <c r="M25" s="5">
        <f t="shared" si="8"/>
        <v>0.47</v>
      </c>
      <c r="N25" s="5">
        <f t="shared" si="8"/>
        <v>9096.4830000000002</v>
      </c>
      <c r="O25" s="5">
        <f>'June 23'!T25</f>
        <v>516.048</v>
      </c>
      <c r="P25" s="5">
        <f t="shared" si="8"/>
        <v>0</v>
      </c>
      <c r="Q25" s="5">
        <f t="shared" si="8"/>
        <v>1.3</v>
      </c>
      <c r="R25" s="5">
        <f t="shared" si="8"/>
        <v>16.239999999999998</v>
      </c>
      <c r="S25" s="5">
        <f t="shared" si="8"/>
        <v>47.5</v>
      </c>
      <c r="T25" s="5">
        <f t="shared" si="8"/>
        <v>499.80800000000005</v>
      </c>
      <c r="U25" s="5">
        <f t="shared" si="8"/>
        <v>13544.916999999999</v>
      </c>
    </row>
    <row r="26" spans="1:23" ht="38.25" customHeight="1">
      <c r="A26" s="35">
        <v>15</v>
      </c>
      <c r="B26" s="38" t="s">
        <v>32</v>
      </c>
      <c r="C26" s="3">
        <f>'June 23'!H26</f>
        <v>1643.1200000000001</v>
      </c>
      <c r="D26" s="3">
        <v>2.83</v>
      </c>
      <c r="E26" s="3">
        <f>'June 23'!E26+'July 2023'!D26</f>
        <v>17.66</v>
      </c>
      <c r="F26" s="3">
        <v>0</v>
      </c>
      <c r="G26" s="3">
        <f>'June 23'!G26+'July 2023'!F26</f>
        <v>0</v>
      </c>
      <c r="H26" s="3">
        <f t="shared" si="0"/>
        <v>1645.95</v>
      </c>
      <c r="I26" s="3">
        <f>'June 23'!N26</f>
        <v>122.23</v>
      </c>
      <c r="J26" s="3">
        <v>0.26</v>
      </c>
      <c r="K26" s="3">
        <f>'June 23'!K26+'July 2023'!J26</f>
        <v>0.94000000000000006</v>
      </c>
      <c r="L26" s="3">
        <v>0</v>
      </c>
      <c r="M26" s="3">
        <f>'June 23'!M26+'July 2023'!L26</f>
        <v>0</v>
      </c>
      <c r="N26" s="3">
        <f t="shared" si="1"/>
        <v>122.49000000000001</v>
      </c>
      <c r="O26" s="3">
        <f>'June 23'!T26</f>
        <v>16.489999999999998</v>
      </c>
      <c r="P26" s="3">
        <v>0</v>
      </c>
      <c r="Q26" s="3">
        <f>'June 23'!Q26+'July 2023'!P26</f>
        <v>0.12</v>
      </c>
      <c r="R26" s="3">
        <v>0</v>
      </c>
      <c r="S26" s="3">
        <f>'June 23'!S26+'July 2023'!R26</f>
        <v>0</v>
      </c>
      <c r="T26" s="3">
        <f t="shared" si="2"/>
        <v>16.489999999999998</v>
      </c>
      <c r="U26" s="3">
        <f t="shared" si="3"/>
        <v>1784.93</v>
      </c>
    </row>
    <row r="27" spans="1:23" s="4" customFormat="1" ht="38.25" customHeight="1">
      <c r="A27" s="35">
        <v>16</v>
      </c>
      <c r="B27" s="38" t="s">
        <v>33</v>
      </c>
      <c r="C27" s="3">
        <f>'June 23'!H27</f>
        <v>5710.0450000000046</v>
      </c>
      <c r="D27" s="3">
        <v>7.98</v>
      </c>
      <c r="E27" s="3">
        <f>'June 23'!E27+'July 2023'!D27</f>
        <v>32.67</v>
      </c>
      <c r="F27" s="3">
        <v>0</v>
      </c>
      <c r="G27" s="3">
        <f>'June 23'!G27+'July 2023'!F27</f>
        <v>0.02</v>
      </c>
      <c r="H27" s="3">
        <f t="shared" si="0"/>
        <v>5718.0250000000042</v>
      </c>
      <c r="I27" s="3">
        <f>'June 23'!N27</f>
        <v>638.82799999999986</v>
      </c>
      <c r="J27" s="3">
        <v>2.33</v>
      </c>
      <c r="K27" s="3">
        <f>'June 23'!K27+'July 2023'!J27</f>
        <v>7</v>
      </c>
      <c r="L27" s="3">
        <v>0</v>
      </c>
      <c r="M27" s="3">
        <f>'June 23'!M27+'July 2023'!L27</f>
        <v>0.02</v>
      </c>
      <c r="N27" s="3">
        <f t="shared" si="1"/>
        <v>641.1579999999999</v>
      </c>
      <c r="O27" s="3">
        <f>'June 23'!T27</f>
        <v>33.85</v>
      </c>
      <c r="P27" s="3">
        <v>0</v>
      </c>
      <c r="Q27" s="3">
        <f>'June 23'!Q27+'July 2023'!P27</f>
        <v>0.05</v>
      </c>
      <c r="R27" s="3">
        <v>0</v>
      </c>
      <c r="S27" s="3">
        <f>'June 23'!S27+'July 2023'!R27</f>
        <v>0</v>
      </c>
      <c r="T27" s="3">
        <f t="shared" si="2"/>
        <v>33.85</v>
      </c>
      <c r="U27" s="3">
        <f t="shared" si="3"/>
        <v>6393.0330000000049</v>
      </c>
    </row>
    <row r="28" spans="1:23" s="4" customFormat="1" ht="38.25" customHeight="1">
      <c r="A28" s="34"/>
      <c r="B28" s="37" t="s">
        <v>34</v>
      </c>
      <c r="C28" s="5">
        <f>'June 23'!H28</f>
        <v>7353.1650000000045</v>
      </c>
      <c r="D28" s="5">
        <f t="shared" ref="D28:U28" si="9">SUM(D26:D27)</f>
        <v>10.81</v>
      </c>
      <c r="E28" s="5">
        <f t="shared" si="9"/>
        <v>50.33</v>
      </c>
      <c r="F28" s="5">
        <f t="shared" si="9"/>
        <v>0</v>
      </c>
      <c r="G28" s="5">
        <f t="shared" si="9"/>
        <v>0.02</v>
      </c>
      <c r="H28" s="5">
        <f t="shared" si="9"/>
        <v>7363.975000000004</v>
      </c>
      <c r="I28" s="5">
        <f>'June 23'!N28</f>
        <v>761.05799999999988</v>
      </c>
      <c r="J28" s="5">
        <f t="shared" si="9"/>
        <v>2.59</v>
      </c>
      <c r="K28" s="5">
        <f t="shared" si="9"/>
        <v>7.94</v>
      </c>
      <c r="L28" s="5">
        <f t="shared" si="9"/>
        <v>0</v>
      </c>
      <c r="M28" s="5">
        <f t="shared" si="9"/>
        <v>0.02</v>
      </c>
      <c r="N28" s="5">
        <f t="shared" si="9"/>
        <v>763.64799999999991</v>
      </c>
      <c r="O28" s="5">
        <f>'June 23'!T28</f>
        <v>50.34</v>
      </c>
      <c r="P28" s="5">
        <f t="shared" si="9"/>
        <v>0</v>
      </c>
      <c r="Q28" s="5">
        <f t="shared" si="9"/>
        <v>0.16999999999999998</v>
      </c>
      <c r="R28" s="5">
        <f t="shared" si="9"/>
        <v>0</v>
      </c>
      <c r="S28" s="5">
        <f t="shared" si="9"/>
        <v>0</v>
      </c>
      <c r="T28" s="5">
        <f t="shared" si="9"/>
        <v>50.34</v>
      </c>
      <c r="U28" s="5">
        <f t="shared" si="9"/>
        <v>8177.9630000000052</v>
      </c>
    </row>
    <row r="29" spans="1:23" ht="38.25" customHeight="1">
      <c r="A29" s="35">
        <v>17</v>
      </c>
      <c r="B29" s="38" t="s">
        <v>35</v>
      </c>
      <c r="C29" s="3">
        <f>'June 23'!H29</f>
        <v>5010.8780000000006</v>
      </c>
      <c r="D29" s="3">
        <v>1.22</v>
      </c>
      <c r="E29" s="3">
        <f>'June 23'!E29+'July 2023'!D29</f>
        <v>131.06</v>
      </c>
      <c r="F29" s="3">
        <v>0</v>
      </c>
      <c r="G29" s="3">
        <f>'June 23'!G29+'July 2023'!F29</f>
        <v>0</v>
      </c>
      <c r="H29" s="3">
        <f t="shared" si="0"/>
        <v>5012.0980000000009</v>
      </c>
      <c r="I29" s="3">
        <f>'June 23'!N29</f>
        <v>122.25000000000001</v>
      </c>
      <c r="J29" s="3">
        <v>0.54</v>
      </c>
      <c r="K29" s="3">
        <f>'June 23'!K29+'July 2023'!J29</f>
        <v>1.26</v>
      </c>
      <c r="L29" s="3">
        <v>0</v>
      </c>
      <c r="M29" s="3">
        <f>'June 23'!M29+'July 2023'!L29</f>
        <v>0</v>
      </c>
      <c r="N29" s="3">
        <f t="shared" si="1"/>
        <v>122.79000000000002</v>
      </c>
      <c r="O29" s="3">
        <f>'June 23'!T29</f>
        <v>34.52000000000001</v>
      </c>
      <c r="P29" s="3">
        <v>0</v>
      </c>
      <c r="Q29" s="3">
        <f>'June 23'!Q29+'July 2023'!P29</f>
        <v>0</v>
      </c>
      <c r="R29" s="3">
        <v>0</v>
      </c>
      <c r="S29" s="3">
        <f>'June 23'!S29+'July 2023'!R29</f>
        <v>0</v>
      </c>
      <c r="T29" s="3">
        <f t="shared" si="2"/>
        <v>34.52000000000001</v>
      </c>
      <c r="U29" s="3">
        <f t="shared" si="3"/>
        <v>5169.4080000000013</v>
      </c>
      <c r="W29" s="89"/>
    </row>
    <row r="30" spans="1:23" ht="54.75" customHeight="1">
      <c r="A30" s="35">
        <v>18</v>
      </c>
      <c r="B30" s="38" t="s">
        <v>36</v>
      </c>
      <c r="C30" s="3">
        <f>'June 23'!H30</f>
        <v>3717.3599999999992</v>
      </c>
      <c r="D30" s="3">
        <v>7.87</v>
      </c>
      <c r="E30" s="3">
        <f>'June 23'!E30+'July 2023'!D30</f>
        <v>23.080000000000002</v>
      </c>
      <c r="F30" s="3">
        <v>0</v>
      </c>
      <c r="G30" s="3">
        <f>'June 23'!G30+'July 2023'!F30</f>
        <v>0</v>
      </c>
      <c r="H30" s="3">
        <f t="shared" si="0"/>
        <v>3725.2299999999991</v>
      </c>
      <c r="I30" s="3">
        <f>'June 23'!N30</f>
        <v>198.58699999999999</v>
      </c>
      <c r="J30" s="3">
        <v>33.78</v>
      </c>
      <c r="K30" s="3">
        <f>'June 23'!K30+'July 2023'!J30</f>
        <v>33.78</v>
      </c>
      <c r="L30" s="3">
        <v>0</v>
      </c>
      <c r="M30" s="3">
        <f>'June 23'!M30+'July 2023'!L30</f>
        <v>0</v>
      </c>
      <c r="N30" s="3">
        <f t="shared" si="1"/>
        <v>232.36699999999999</v>
      </c>
      <c r="O30" s="3">
        <f>'June 23'!T30</f>
        <v>23.25</v>
      </c>
      <c r="P30" s="3">
        <v>0</v>
      </c>
      <c r="Q30" s="3">
        <f>'June 23'!Q30+'July 2023'!P30</f>
        <v>0</v>
      </c>
      <c r="R30" s="3">
        <v>0</v>
      </c>
      <c r="S30" s="3">
        <f>'June 23'!S30+'July 2023'!R30</f>
        <v>0</v>
      </c>
      <c r="T30" s="3">
        <f t="shared" si="2"/>
        <v>23.25</v>
      </c>
      <c r="U30" s="3">
        <f t="shared" si="3"/>
        <v>3980.8469999999993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'June 23'!H31</f>
        <v>4708.9000000000015</v>
      </c>
      <c r="D31" s="3">
        <v>1.079</v>
      </c>
      <c r="E31" s="3">
        <f>'June 23'!E31+'July 2023'!D31</f>
        <v>7.4869999999999992</v>
      </c>
      <c r="F31" s="3">
        <v>0</v>
      </c>
      <c r="G31" s="3">
        <f>'June 23'!G31+'July 2023'!F31</f>
        <v>0</v>
      </c>
      <c r="H31" s="3">
        <f t="shared" si="0"/>
        <v>4709.9790000000012</v>
      </c>
      <c r="I31" s="3">
        <f>'June 23'!N31</f>
        <v>107.89500000000002</v>
      </c>
      <c r="J31" s="3">
        <v>0</v>
      </c>
      <c r="K31" s="3">
        <f>'June 23'!K31+'July 2023'!J31</f>
        <v>0.20499999999999999</v>
      </c>
      <c r="L31" s="3">
        <v>0</v>
      </c>
      <c r="M31" s="3">
        <f>'June 23'!M31+'July 2023'!L31</f>
        <v>0</v>
      </c>
      <c r="N31" s="3">
        <f t="shared" si="1"/>
        <v>107.89500000000002</v>
      </c>
      <c r="O31" s="3">
        <f>'June 23'!T31</f>
        <v>14.850000000000001</v>
      </c>
      <c r="P31" s="3">
        <v>0</v>
      </c>
      <c r="Q31" s="3">
        <f>'June 23'!Q31+'July 2023'!P31</f>
        <v>0</v>
      </c>
      <c r="R31" s="3">
        <v>0</v>
      </c>
      <c r="S31" s="3">
        <f>'June 23'!S31+'July 2023'!R31</f>
        <v>0</v>
      </c>
      <c r="T31" s="3">
        <f t="shared" si="2"/>
        <v>14.850000000000001</v>
      </c>
      <c r="U31" s="3">
        <f t="shared" si="3"/>
        <v>4832.724000000002</v>
      </c>
      <c r="W31" s="89"/>
    </row>
    <row r="32" spans="1:23" ht="70.5" customHeight="1">
      <c r="A32" s="35">
        <v>20</v>
      </c>
      <c r="B32" s="38" t="s">
        <v>38</v>
      </c>
      <c r="C32" s="3">
        <f>'June 23'!H32</f>
        <v>2371.1757999999991</v>
      </c>
      <c r="D32" s="3">
        <v>3.72</v>
      </c>
      <c r="E32" s="3">
        <f>'June 23'!E32+'July 2023'!D32</f>
        <v>10.6</v>
      </c>
      <c r="F32" s="3">
        <v>0</v>
      </c>
      <c r="G32" s="3">
        <f>'June 23'!G32+'July 2023'!F32</f>
        <v>9.73</v>
      </c>
      <c r="H32" s="3">
        <f t="shared" si="0"/>
        <v>2374.8957999999989</v>
      </c>
      <c r="I32" s="3">
        <f>'June 23'!N32</f>
        <v>98.16400000000003</v>
      </c>
      <c r="J32" s="3">
        <v>1.63</v>
      </c>
      <c r="K32" s="3">
        <f>'June 23'!K32+'July 2023'!J32</f>
        <v>6.6180000000000003</v>
      </c>
      <c r="L32" s="3">
        <v>0</v>
      </c>
      <c r="M32" s="3">
        <f>'June 23'!M32+'July 2023'!L32</f>
        <v>0</v>
      </c>
      <c r="N32" s="3">
        <f t="shared" si="1"/>
        <v>99.794000000000025</v>
      </c>
      <c r="O32" s="3">
        <f>'June 23'!T32</f>
        <v>67.551999999999992</v>
      </c>
      <c r="P32" s="3">
        <v>0</v>
      </c>
      <c r="Q32" s="3">
        <f>'June 23'!Q32+'July 2023'!P32</f>
        <v>0</v>
      </c>
      <c r="R32" s="3">
        <v>0</v>
      </c>
      <c r="S32" s="3">
        <f>'June 23'!S32+'July 2023'!R32</f>
        <v>0</v>
      </c>
      <c r="T32" s="3">
        <f t="shared" si="2"/>
        <v>67.551999999999992</v>
      </c>
      <c r="U32" s="3">
        <f t="shared" si="3"/>
        <v>2542.2417999999989</v>
      </c>
      <c r="W32" s="89"/>
    </row>
    <row r="33" spans="1:23" s="4" customFormat="1" ht="38.25" customHeight="1">
      <c r="A33" s="34"/>
      <c r="B33" s="37" t="s">
        <v>39</v>
      </c>
      <c r="C33" s="5">
        <f>'June 23'!H33</f>
        <v>15808.3138</v>
      </c>
      <c r="D33" s="5">
        <f t="shared" ref="D33:U33" si="10">SUM(D29:D32)</f>
        <v>13.889000000000001</v>
      </c>
      <c r="E33" s="5">
        <f t="shared" si="10"/>
        <v>172.227</v>
      </c>
      <c r="F33" s="5">
        <f t="shared" si="10"/>
        <v>0</v>
      </c>
      <c r="G33" s="5">
        <f t="shared" si="10"/>
        <v>9.73</v>
      </c>
      <c r="H33" s="5">
        <f t="shared" si="10"/>
        <v>15822.202799999999</v>
      </c>
      <c r="I33" s="5">
        <f>'June 23'!N33</f>
        <v>526.89600000000007</v>
      </c>
      <c r="J33" s="5">
        <f t="shared" si="10"/>
        <v>35.950000000000003</v>
      </c>
      <c r="K33" s="5">
        <f t="shared" si="10"/>
        <v>41.863</v>
      </c>
      <c r="L33" s="5">
        <f t="shared" si="10"/>
        <v>0</v>
      </c>
      <c r="M33" s="5">
        <f t="shared" si="10"/>
        <v>0</v>
      </c>
      <c r="N33" s="5">
        <f t="shared" si="10"/>
        <v>562.84600000000012</v>
      </c>
      <c r="O33" s="5">
        <f>'June 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16525.220800000003</v>
      </c>
    </row>
    <row r="34" spans="1:23" ht="38.25" customHeight="1">
      <c r="A34" s="35">
        <v>21</v>
      </c>
      <c r="B34" s="38" t="s">
        <v>40</v>
      </c>
      <c r="C34" s="3">
        <f>'June 23'!H34</f>
        <v>5082.53</v>
      </c>
      <c r="D34" s="3">
        <f>2.82+159.25</f>
        <v>162.07</v>
      </c>
      <c r="E34" s="3">
        <f>'June 23'!E34+'July 2023'!D34</f>
        <v>657.84999999999991</v>
      </c>
      <c r="F34" s="3">
        <v>2.72</v>
      </c>
      <c r="G34" s="3">
        <f>'June 23'!G34+'July 2023'!F34</f>
        <v>2.72</v>
      </c>
      <c r="H34" s="3">
        <f t="shared" si="0"/>
        <v>5241.8799999999992</v>
      </c>
      <c r="I34" s="3">
        <f>'June 23'!N34</f>
        <v>108.16999999999999</v>
      </c>
      <c r="J34" s="3">
        <v>8</v>
      </c>
      <c r="K34" s="3">
        <f>'June 23'!K34+'July 2023'!J34</f>
        <v>8.09</v>
      </c>
      <c r="L34" s="3">
        <v>0</v>
      </c>
      <c r="M34" s="3">
        <f>'June 23'!M34+'July 2023'!L34</f>
        <v>0</v>
      </c>
      <c r="N34" s="3">
        <f t="shared" si="1"/>
        <v>116.16999999999999</v>
      </c>
      <c r="O34" s="3">
        <f>'June 23'!T34</f>
        <v>72.7</v>
      </c>
      <c r="P34" s="3">
        <v>0</v>
      </c>
      <c r="Q34" s="3">
        <f>'June 23'!Q34+'July 2023'!P34</f>
        <v>0</v>
      </c>
      <c r="R34" s="3">
        <v>0</v>
      </c>
      <c r="S34" s="3">
        <f>'June 23'!S34+'July 2023'!R34</f>
        <v>0</v>
      </c>
      <c r="T34" s="3">
        <f t="shared" si="2"/>
        <v>72.7</v>
      </c>
      <c r="U34" s="3">
        <f t="shared" si="3"/>
        <v>5430.7499999999991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'June 23'!H35</f>
        <v>6766.3399999999974</v>
      </c>
      <c r="D35" s="3">
        <f>28.19+9</f>
        <v>37.19</v>
      </c>
      <c r="E35" s="3">
        <f>'June 23'!E35+'July 2023'!D35</f>
        <v>119.91</v>
      </c>
      <c r="F35" s="3">
        <v>0</v>
      </c>
      <c r="G35" s="3">
        <f>'June 23'!G35+'July 2023'!F35</f>
        <v>0</v>
      </c>
      <c r="H35" s="3">
        <f t="shared" si="0"/>
        <v>6803.529999999997</v>
      </c>
      <c r="I35" s="3">
        <f>'June 23'!N35</f>
        <v>34.17</v>
      </c>
      <c r="J35" s="3">
        <v>0</v>
      </c>
      <c r="K35" s="3">
        <f>'June 23'!K35+'July 2023'!J35</f>
        <v>0.04</v>
      </c>
      <c r="L35" s="3">
        <v>0</v>
      </c>
      <c r="M35" s="3">
        <f>'June 23'!M35+'July 2023'!L35</f>
        <v>0</v>
      </c>
      <c r="N35" s="3">
        <f t="shared" si="1"/>
        <v>34.17</v>
      </c>
      <c r="O35" s="3">
        <f>'June 23'!T35</f>
        <v>90.800000000000011</v>
      </c>
      <c r="P35" s="3">
        <v>0</v>
      </c>
      <c r="Q35" s="3">
        <f>'June 23'!Q35+'July 2023'!P35</f>
        <v>0</v>
      </c>
      <c r="R35" s="3">
        <v>0</v>
      </c>
      <c r="S35" s="3">
        <f>'June 23'!S35+'July 2023'!R35</f>
        <v>0</v>
      </c>
      <c r="T35" s="3">
        <f t="shared" si="2"/>
        <v>90.800000000000011</v>
      </c>
      <c r="U35" s="3">
        <f t="shared" si="3"/>
        <v>6928.4999999999973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'June 23'!H36</f>
        <v>5176.58</v>
      </c>
      <c r="D36" s="3">
        <f>13.18+489.65</f>
        <v>502.83</v>
      </c>
      <c r="E36" s="3">
        <f>'June 23'!E36+'July 2023'!D36</f>
        <v>1981.75</v>
      </c>
      <c r="F36" s="3">
        <v>0</v>
      </c>
      <c r="G36" s="3">
        <f>'June 23'!G36+'July 2023'!F36</f>
        <v>0</v>
      </c>
      <c r="H36" s="3">
        <f t="shared" si="0"/>
        <v>5679.41</v>
      </c>
      <c r="I36" s="3">
        <f>'June 23'!N36</f>
        <v>30.250000000000039</v>
      </c>
      <c r="J36" s="3">
        <v>0</v>
      </c>
      <c r="K36" s="3">
        <f>'June 23'!K36+'July 2023'!J36</f>
        <v>0</v>
      </c>
      <c r="L36" s="3">
        <v>0</v>
      </c>
      <c r="M36" s="3">
        <f>'June 23'!M36+'July 2023'!L36</f>
        <v>0</v>
      </c>
      <c r="N36" s="3">
        <f t="shared" si="1"/>
        <v>30.250000000000039</v>
      </c>
      <c r="O36" s="3">
        <f>'June 23'!T36</f>
        <v>36.379999999999995</v>
      </c>
      <c r="P36" s="3">
        <v>0</v>
      </c>
      <c r="Q36" s="3">
        <f>'June 23'!Q36+'July 2023'!P36</f>
        <v>0</v>
      </c>
      <c r="R36" s="3">
        <v>0</v>
      </c>
      <c r="S36" s="3">
        <f>'June 23'!S36+'July 2023'!R36</f>
        <v>0</v>
      </c>
      <c r="T36" s="3">
        <f t="shared" si="2"/>
        <v>36.379999999999995</v>
      </c>
      <c r="U36" s="3">
        <f t="shared" si="3"/>
        <v>5746.04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'June 23'!H37</f>
        <v>5123.8899999999985</v>
      </c>
      <c r="D37" s="3">
        <f>5.77+0.87</f>
        <v>6.64</v>
      </c>
      <c r="E37" s="3">
        <f>'June 23'!E37+'July 2023'!D37</f>
        <v>36.019999999999996</v>
      </c>
      <c r="F37" s="3">
        <v>0</v>
      </c>
      <c r="G37" s="3">
        <f>'June 23'!G37+'July 2023'!F37</f>
        <v>0</v>
      </c>
      <c r="H37" s="3">
        <f t="shared" si="0"/>
        <v>5130.5299999999988</v>
      </c>
      <c r="I37" s="3">
        <f>'June 23'!N37</f>
        <v>26.700000000000003</v>
      </c>
      <c r="J37" s="3">
        <v>0</v>
      </c>
      <c r="K37" s="3">
        <f>'June 23'!K37+'July 2023'!J37</f>
        <v>0</v>
      </c>
      <c r="L37" s="3">
        <v>0</v>
      </c>
      <c r="M37" s="3">
        <f>'June 23'!M37+'July 2023'!L37</f>
        <v>0</v>
      </c>
      <c r="N37" s="3">
        <f t="shared" si="1"/>
        <v>26.700000000000003</v>
      </c>
      <c r="O37" s="3">
        <f>'June 23'!T37</f>
        <v>3.0599999999999996</v>
      </c>
      <c r="P37" s="3">
        <v>0</v>
      </c>
      <c r="Q37" s="3">
        <f>'June 23'!Q37+'July 2023'!P37</f>
        <v>0</v>
      </c>
      <c r="R37" s="3">
        <v>0</v>
      </c>
      <c r="S37" s="3">
        <f>'June 23'!S37+'July 2023'!R37</f>
        <v>0</v>
      </c>
      <c r="T37" s="3">
        <f t="shared" si="2"/>
        <v>3.0599999999999996</v>
      </c>
      <c r="U37" s="3">
        <f t="shared" si="3"/>
        <v>5160.2899999999991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'June 23'!H38</f>
        <v>22149.339999999997</v>
      </c>
      <c r="D38" s="5">
        <f t="shared" ref="D38:U38" si="11">SUM(D34:D37)</f>
        <v>708.7299999999999</v>
      </c>
      <c r="E38" s="5">
        <f t="shared" si="11"/>
        <v>2795.5299999999997</v>
      </c>
      <c r="F38" s="5">
        <f t="shared" si="11"/>
        <v>2.72</v>
      </c>
      <c r="G38" s="5">
        <f t="shared" si="11"/>
        <v>2.72</v>
      </c>
      <c r="H38" s="5">
        <f t="shared" si="11"/>
        <v>22855.349999999995</v>
      </c>
      <c r="I38" s="5">
        <f>'June 23'!N38</f>
        <v>199.29000000000002</v>
      </c>
      <c r="J38" s="5">
        <f t="shared" si="11"/>
        <v>8</v>
      </c>
      <c r="K38" s="5">
        <f t="shared" si="11"/>
        <v>8.129999999999999</v>
      </c>
      <c r="L38" s="5">
        <f t="shared" si="11"/>
        <v>0</v>
      </c>
      <c r="M38" s="5">
        <f t="shared" si="11"/>
        <v>0</v>
      </c>
      <c r="N38" s="5">
        <f t="shared" si="11"/>
        <v>207.29000000000002</v>
      </c>
      <c r="O38" s="5">
        <f>'June 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23265.579999999994</v>
      </c>
    </row>
    <row r="39" spans="1:23" s="4" customFormat="1" ht="38.25" customHeight="1">
      <c r="A39" s="34"/>
      <c r="B39" s="37" t="s">
        <v>45</v>
      </c>
      <c r="C39" s="5">
        <f>'June 23'!H39</f>
        <v>45310.818800000008</v>
      </c>
      <c r="D39" s="5">
        <f t="shared" ref="D39:U39" si="12">D38+D33+D28</f>
        <v>733.42899999999986</v>
      </c>
      <c r="E39" s="5">
        <f t="shared" si="12"/>
        <v>3018.0869999999995</v>
      </c>
      <c r="F39" s="5">
        <f t="shared" si="12"/>
        <v>2.72</v>
      </c>
      <c r="G39" s="5">
        <f t="shared" si="12"/>
        <v>12.47</v>
      </c>
      <c r="H39" s="5">
        <f t="shared" si="12"/>
        <v>46041.527799999996</v>
      </c>
      <c r="I39" s="5">
        <f>'June 23'!N39</f>
        <v>1487.2440000000001</v>
      </c>
      <c r="J39" s="5">
        <f t="shared" si="12"/>
        <v>46.540000000000006</v>
      </c>
      <c r="K39" s="5">
        <f t="shared" si="12"/>
        <v>57.932999999999993</v>
      </c>
      <c r="L39" s="5">
        <f t="shared" si="12"/>
        <v>0</v>
      </c>
      <c r="M39" s="5">
        <f t="shared" si="12"/>
        <v>0.02</v>
      </c>
      <c r="N39" s="5">
        <f t="shared" si="12"/>
        <v>1533.7840000000001</v>
      </c>
      <c r="O39" s="5">
        <f>'June 23'!T39</f>
        <v>393.452</v>
      </c>
      <c r="P39" s="5">
        <f t="shared" si="12"/>
        <v>0</v>
      </c>
      <c r="Q39" s="5">
        <f t="shared" si="12"/>
        <v>0.16999999999999998</v>
      </c>
      <c r="R39" s="5">
        <f t="shared" si="12"/>
        <v>0</v>
      </c>
      <c r="S39" s="5">
        <f t="shared" si="12"/>
        <v>0</v>
      </c>
      <c r="T39" s="5">
        <f t="shared" si="12"/>
        <v>393.452</v>
      </c>
      <c r="U39" s="5">
        <f t="shared" si="12"/>
        <v>47968.763800000001</v>
      </c>
    </row>
    <row r="40" spans="1:23" ht="38.25" customHeight="1">
      <c r="A40" s="35">
        <v>25</v>
      </c>
      <c r="B40" s="38" t="s">
        <v>46</v>
      </c>
      <c r="C40" s="3">
        <f>'June 23'!H40</f>
        <v>12594.253999999997</v>
      </c>
      <c r="D40" s="3">
        <f>7.84+232.46</f>
        <v>240.3</v>
      </c>
      <c r="E40" s="3">
        <f>'June 23'!E40+'July 2023'!D40</f>
        <v>976.93000000000006</v>
      </c>
      <c r="F40" s="3">
        <v>0</v>
      </c>
      <c r="G40" s="3">
        <f>'June 23'!G40+'July 2023'!F40</f>
        <v>0</v>
      </c>
      <c r="H40" s="3">
        <f t="shared" si="0"/>
        <v>12834.553999999996</v>
      </c>
      <c r="I40" s="3">
        <f>'June 23'!N40</f>
        <v>198.73</v>
      </c>
      <c r="J40" s="3">
        <v>0</v>
      </c>
      <c r="K40" s="3">
        <f>'June 23'!K40+'July 2023'!J40</f>
        <v>0</v>
      </c>
      <c r="L40" s="3">
        <v>0</v>
      </c>
      <c r="M40" s="3">
        <f>'June 23'!M40+'July 2023'!L40</f>
        <v>0</v>
      </c>
      <c r="N40" s="3">
        <f t="shared" si="1"/>
        <v>198.73</v>
      </c>
      <c r="O40" s="3">
        <f>'June 23'!T40</f>
        <v>106.93</v>
      </c>
      <c r="P40" s="3">
        <v>0</v>
      </c>
      <c r="Q40" s="3">
        <f>'June 23'!Q40+'July 2023'!P40</f>
        <v>0</v>
      </c>
      <c r="R40" s="3">
        <v>0</v>
      </c>
      <c r="S40" s="3">
        <f>'June 23'!S40+'July 2023'!R40</f>
        <v>0</v>
      </c>
      <c r="T40" s="3">
        <f t="shared" si="2"/>
        <v>106.93</v>
      </c>
      <c r="U40" s="3">
        <f t="shared" si="3"/>
        <v>13140.213999999996</v>
      </c>
    </row>
    <row r="41" spans="1:23" ht="38.25" customHeight="1">
      <c r="A41" s="35">
        <v>26</v>
      </c>
      <c r="B41" s="38" t="s">
        <v>47</v>
      </c>
      <c r="C41" s="3">
        <f>'June 23'!H41</f>
        <v>8684.3889999999938</v>
      </c>
      <c r="D41" s="3">
        <f>6.56+43.81</f>
        <v>50.370000000000005</v>
      </c>
      <c r="E41" s="3">
        <f>'June 23'!E41+'July 2023'!D41</f>
        <v>287.36</v>
      </c>
      <c r="F41" s="3">
        <v>0</v>
      </c>
      <c r="G41" s="3">
        <f>'June 23'!G41+'July 2023'!F41</f>
        <v>0</v>
      </c>
      <c r="H41" s="3">
        <f t="shared" si="0"/>
        <v>8734.7589999999946</v>
      </c>
      <c r="I41" s="3">
        <f>'June 23'!N41</f>
        <v>8.67</v>
      </c>
      <c r="J41" s="3">
        <v>0</v>
      </c>
      <c r="K41" s="3">
        <f>'June 23'!K41+'July 2023'!J41</f>
        <v>0</v>
      </c>
      <c r="L41" s="3">
        <v>0</v>
      </c>
      <c r="M41" s="3">
        <f>'June 23'!M41+'July 2023'!L41</f>
        <v>0</v>
      </c>
      <c r="N41" s="3">
        <f t="shared" si="1"/>
        <v>8.67</v>
      </c>
      <c r="O41" s="3">
        <f>'June 23'!T41</f>
        <v>141.29000000000002</v>
      </c>
      <c r="P41" s="3">
        <v>0</v>
      </c>
      <c r="Q41" s="3">
        <f>'June 23'!Q41+'July 2023'!P41</f>
        <v>0</v>
      </c>
      <c r="R41" s="3">
        <v>0</v>
      </c>
      <c r="S41" s="3">
        <f>'June 23'!S41+'July 2023'!R41</f>
        <v>0</v>
      </c>
      <c r="T41" s="3">
        <f t="shared" si="2"/>
        <v>141.29000000000002</v>
      </c>
      <c r="U41" s="3">
        <f t="shared" si="3"/>
        <v>8884.7189999999955</v>
      </c>
    </row>
    <row r="42" spans="1:23" s="4" customFormat="1" ht="38.25" customHeight="1">
      <c r="A42" s="35">
        <v>27</v>
      </c>
      <c r="B42" s="38" t="s">
        <v>48</v>
      </c>
      <c r="C42" s="3">
        <f>'June 23'!H42</f>
        <v>14816.272999999996</v>
      </c>
      <c r="D42" s="3">
        <f>9.87+266.11</f>
        <v>275.98</v>
      </c>
      <c r="E42" s="3">
        <f>'June 23'!E42+'July 2023'!D42</f>
        <v>1138.5800000000002</v>
      </c>
      <c r="F42" s="3">
        <v>0</v>
      </c>
      <c r="G42" s="3">
        <f>'June 23'!G42+'July 2023'!F42</f>
        <v>0</v>
      </c>
      <c r="H42" s="3">
        <f t="shared" si="0"/>
        <v>15092.252999999995</v>
      </c>
      <c r="I42" s="3">
        <f>'June 23'!N42</f>
        <v>15.62</v>
      </c>
      <c r="J42" s="3">
        <v>0</v>
      </c>
      <c r="K42" s="3">
        <f>'June 23'!K42+'July 2023'!J42</f>
        <v>0</v>
      </c>
      <c r="L42" s="3">
        <v>0</v>
      </c>
      <c r="M42" s="3">
        <f>'June 23'!M42+'July 2023'!L42</f>
        <v>0</v>
      </c>
      <c r="N42" s="3">
        <f t="shared" si="1"/>
        <v>15.62</v>
      </c>
      <c r="O42" s="3">
        <f>'June 23'!T42</f>
        <v>205.35</v>
      </c>
      <c r="P42" s="3">
        <v>0</v>
      </c>
      <c r="Q42" s="3">
        <f>'June 23'!Q42+'July 2023'!P42</f>
        <v>0</v>
      </c>
      <c r="R42" s="3">
        <v>0</v>
      </c>
      <c r="S42" s="3">
        <f>'June 23'!S42+'July 2023'!R42</f>
        <v>0</v>
      </c>
      <c r="T42" s="3">
        <f t="shared" si="2"/>
        <v>205.35</v>
      </c>
      <c r="U42" s="3">
        <f t="shared" si="3"/>
        <v>15313.222999999996</v>
      </c>
    </row>
    <row r="43" spans="1:23" ht="38.25" customHeight="1">
      <c r="A43" s="35">
        <v>28</v>
      </c>
      <c r="B43" s="38" t="s">
        <v>49</v>
      </c>
      <c r="C43" s="3">
        <f>'June 23'!H43</f>
        <v>4434.0500000000011</v>
      </c>
      <c r="D43" s="3">
        <f>1.03+2.72+39.35</f>
        <v>43.1</v>
      </c>
      <c r="E43" s="3">
        <f>'June 23'!E43+'July 2023'!D43</f>
        <v>275.19</v>
      </c>
      <c r="F43" s="3">
        <v>0</v>
      </c>
      <c r="G43" s="3">
        <f>'June 23'!G43+'July 2023'!F43</f>
        <v>0</v>
      </c>
      <c r="H43" s="3">
        <f t="shared" si="0"/>
        <v>4477.1500000000015</v>
      </c>
      <c r="I43" s="3">
        <f>'June 23'!N43</f>
        <v>3.5</v>
      </c>
      <c r="J43" s="3">
        <v>0</v>
      </c>
      <c r="K43" s="3">
        <f>'June 23'!K43+'July 2023'!J43</f>
        <v>0</v>
      </c>
      <c r="L43" s="3">
        <v>0</v>
      </c>
      <c r="M43" s="3">
        <f>'June 23'!M43+'July 2023'!L43</f>
        <v>0</v>
      </c>
      <c r="N43" s="3">
        <f t="shared" si="1"/>
        <v>3.5</v>
      </c>
      <c r="O43" s="3">
        <f>'June 23'!T43</f>
        <v>29.8</v>
      </c>
      <c r="P43" s="3">
        <v>0</v>
      </c>
      <c r="Q43" s="3">
        <f>'June 23'!Q43+'July 2023'!P43</f>
        <v>0</v>
      </c>
      <c r="R43" s="3">
        <v>0</v>
      </c>
      <c r="S43" s="3">
        <f>'June 23'!S43+'July 2023'!R43</f>
        <v>0</v>
      </c>
      <c r="T43" s="3">
        <f t="shared" si="2"/>
        <v>29.8</v>
      </c>
      <c r="U43" s="3">
        <f t="shared" si="3"/>
        <v>4510.4500000000016</v>
      </c>
    </row>
    <row r="44" spans="1:23" s="4" customFormat="1" ht="38.25" customHeight="1">
      <c r="A44" s="34"/>
      <c r="B44" s="37" t="s">
        <v>50</v>
      </c>
      <c r="C44" s="5">
        <f>'June 23'!H44</f>
        <v>40528.965999999986</v>
      </c>
      <c r="D44" s="5">
        <f t="shared" ref="D44:U44" si="13">SUM(D40:D43)</f>
        <v>609.75000000000011</v>
      </c>
      <c r="E44" s="5">
        <f t="shared" si="13"/>
        <v>2678.06</v>
      </c>
      <c r="F44" s="5">
        <f t="shared" si="13"/>
        <v>0</v>
      </c>
      <c r="G44" s="5">
        <f t="shared" si="13"/>
        <v>0</v>
      </c>
      <c r="H44" s="5">
        <f t="shared" si="13"/>
        <v>41138.715999999986</v>
      </c>
      <c r="I44" s="5">
        <f>'June 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'June 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41848.605999999992</v>
      </c>
    </row>
    <row r="45" spans="1:23" ht="38.25" customHeight="1">
      <c r="A45" s="35">
        <v>29</v>
      </c>
      <c r="B45" s="38" t="s">
        <v>51</v>
      </c>
      <c r="C45" s="3">
        <f>'June 23'!H45</f>
        <v>8436.6020999999982</v>
      </c>
      <c r="D45" s="3">
        <v>22.08</v>
      </c>
      <c r="E45" s="3">
        <f>'June 23'!E45+'July 2023'!D45</f>
        <v>94.87</v>
      </c>
      <c r="F45" s="3">
        <v>0</v>
      </c>
      <c r="G45" s="3">
        <f>'June 23'!G45+'July 2023'!F45</f>
        <v>0</v>
      </c>
      <c r="H45" s="3">
        <f t="shared" si="0"/>
        <v>8458.6820999999982</v>
      </c>
      <c r="I45" s="3">
        <f>'June 23'!N45</f>
        <v>261.14999999999992</v>
      </c>
      <c r="J45" s="3">
        <v>0</v>
      </c>
      <c r="K45" s="3">
        <f>'June 23'!K45+'July 2023'!J45</f>
        <v>0.1</v>
      </c>
      <c r="L45" s="3">
        <v>0</v>
      </c>
      <c r="M45" s="3">
        <f>'June 23'!M45+'July 2023'!L45</f>
        <v>0</v>
      </c>
      <c r="N45" s="3">
        <f t="shared" si="1"/>
        <v>261.14999999999992</v>
      </c>
      <c r="O45" s="3">
        <f>'June 23'!T45</f>
        <v>84.45</v>
      </c>
      <c r="P45" s="3">
        <v>0</v>
      </c>
      <c r="Q45" s="3">
        <f>'June 23'!Q45+'July 2023'!P45</f>
        <v>0.06</v>
      </c>
      <c r="R45" s="3">
        <v>0</v>
      </c>
      <c r="S45" s="3">
        <f>'June 23'!S45+'July 2023'!R45</f>
        <v>0</v>
      </c>
      <c r="T45" s="3">
        <f t="shared" si="2"/>
        <v>84.45</v>
      </c>
      <c r="U45" s="3">
        <f t="shared" si="3"/>
        <v>8804.2820999999985</v>
      </c>
    </row>
    <row r="46" spans="1:23" ht="38.25" customHeight="1">
      <c r="A46" s="35">
        <v>30</v>
      </c>
      <c r="B46" s="38" t="s">
        <v>52</v>
      </c>
      <c r="C46" s="3">
        <f>'June 23'!H46</f>
        <v>8049.3250000000016</v>
      </c>
      <c r="D46" s="3">
        <v>21.5</v>
      </c>
      <c r="E46" s="3">
        <f>'June 23'!E46+'July 2023'!D46</f>
        <v>123.59</v>
      </c>
      <c r="F46" s="3">
        <v>0</v>
      </c>
      <c r="G46" s="3">
        <f>'June 23'!G46+'July 2023'!F46</f>
        <v>0</v>
      </c>
      <c r="H46" s="3">
        <f t="shared" si="0"/>
        <v>8070.8250000000016</v>
      </c>
      <c r="I46" s="3">
        <f>'June 23'!N46</f>
        <v>0</v>
      </c>
      <c r="J46" s="3">
        <v>0</v>
      </c>
      <c r="K46" s="3">
        <f>'June 23'!K46+'July 2023'!J46</f>
        <v>0</v>
      </c>
      <c r="L46" s="3">
        <v>0</v>
      </c>
      <c r="M46" s="3">
        <f>'June 23'!M46+'July 2023'!L46</f>
        <v>0</v>
      </c>
      <c r="N46" s="3">
        <f t="shared" si="1"/>
        <v>0</v>
      </c>
      <c r="O46" s="3">
        <f>'June 23'!T46</f>
        <v>47.03</v>
      </c>
      <c r="P46" s="3">
        <v>0</v>
      </c>
      <c r="Q46" s="3">
        <f>'June 23'!Q46+'July 2023'!P46</f>
        <v>0</v>
      </c>
      <c r="R46" s="3">
        <v>0</v>
      </c>
      <c r="S46" s="3">
        <f>'June 23'!S46+'July 2023'!R46</f>
        <v>0</v>
      </c>
      <c r="T46" s="3">
        <f t="shared" si="2"/>
        <v>47.03</v>
      </c>
      <c r="U46" s="3">
        <f t="shared" si="3"/>
        <v>8117.8550000000014</v>
      </c>
    </row>
    <row r="47" spans="1:23" s="4" customFormat="1" ht="38.25" customHeight="1">
      <c r="A47" s="35">
        <v>31</v>
      </c>
      <c r="B47" s="38" t="s">
        <v>53</v>
      </c>
      <c r="C47" s="3">
        <f>'June 23'!H47</f>
        <v>9332.2799999999952</v>
      </c>
      <c r="D47" s="3">
        <v>17.21</v>
      </c>
      <c r="E47" s="3">
        <f>'June 23'!E47+'July 2023'!D47</f>
        <v>271.78999999999996</v>
      </c>
      <c r="F47" s="3">
        <v>0</v>
      </c>
      <c r="G47" s="3">
        <f>'June 23'!G47+'July 2023'!F47</f>
        <v>0</v>
      </c>
      <c r="H47" s="3">
        <f t="shared" si="0"/>
        <v>9349.4899999999943</v>
      </c>
      <c r="I47" s="3">
        <f>'June 23'!N47</f>
        <v>3.13</v>
      </c>
      <c r="J47" s="3">
        <v>0</v>
      </c>
      <c r="K47" s="3">
        <f>'June 23'!K47+'July 2023'!J47</f>
        <v>0</v>
      </c>
      <c r="L47" s="3">
        <v>0</v>
      </c>
      <c r="M47" s="3">
        <f>'June 23'!M47+'July 2023'!L47</f>
        <v>0</v>
      </c>
      <c r="N47" s="3">
        <f t="shared" si="1"/>
        <v>3.13</v>
      </c>
      <c r="O47" s="3">
        <f>'June 23'!T47</f>
        <v>118.94999999999999</v>
      </c>
      <c r="P47" s="3">
        <v>0</v>
      </c>
      <c r="Q47" s="3">
        <f>'June 23'!Q47+'July 2023'!P47</f>
        <v>0</v>
      </c>
      <c r="R47" s="3">
        <v>0</v>
      </c>
      <c r="S47" s="3">
        <f>'June 23'!S47+'July 2023'!R47</f>
        <v>0</v>
      </c>
      <c r="T47" s="3">
        <f t="shared" si="2"/>
        <v>118.94999999999999</v>
      </c>
      <c r="U47" s="3">
        <f t="shared" si="3"/>
        <v>9471.5699999999943</v>
      </c>
    </row>
    <row r="48" spans="1:23" s="4" customFormat="1" ht="38.25" customHeight="1">
      <c r="A48" s="35">
        <v>32</v>
      </c>
      <c r="B48" s="38" t="s">
        <v>54</v>
      </c>
      <c r="C48" s="3">
        <f>'June 23'!H48</f>
        <v>8642.498999999998</v>
      </c>
      <c r="D48" s="3">
        <v>0.32</v>
      </c>
      <c r="E48" s="3">
        <f>'June 23'!E48+'July 2023'!D48</f>
        <v>36.870000000000005</v>
      </c>
      <c r="F48" s="3">
        <v>0</v>
      </c>
      <c r="G48" s="3">
        <f>'June 23'!G48+'July 2023'!F48</f>
        <v>0</v>
      </c>
      <c r="H48" s="3">
        <f t="shared" si="0"/>
        <v>8642.8189999999977</v>
      </c>
      <c r="I48" s="3">
        <f>'June 23'!N48</f>
        <v>5.0249999999999995</v>
      </c>
      <c r="J48" s="3">
        <v>0</v>
      </c>
      <c r="K48" s="3">
        <f>'June 23'!K48+'July 2023'!J48</f>
        <v>0</v>
      </c>
      <c r="L48" s="3">
        <v>0</v>
      </c>
      <c r="M48" s="3">
        <f>'June 23'!M48+'July 2023'!L48</f>
        <v>0</v>
      </c>
      <c r="N48" s="3">
        <f t="shared" si="1"/>
        <v>5.0249999999999995</v>
      </c>
      <c r="O48" s="3">
        <f>'June 23'!T48</f>
        <v>4.21</v>
      </c>
      <c r="P48" s="3">
        <v>0</v>
      </c>
      <c r="Q48" s="3">
        <f>'June 23'!Q48+'July 2023'!P48</f>
        <v>0</v>
      </c>
      <c r="R48" s="3">
        <v>0</v>
      </c>
      <c r="S48" s="3">
        <f>'June 23'!S48+'July 2023'!R48</f>
        <v>0</v>
      </c>
      <c r="T48" s="3">
        <f t="shared" si="2"/>
        <v>4.21</v>
      </c>
      <c r="U48" s="3">
        <f t="shared" si="3"/>
        <v>8652.0539999999964</v>
      </c>
    </row>
    <row r="49" spans="1:24" s="4" customFormat="1" ht="38.25" customHeight="1">
      <c r="A49" s="34"/>
      <c r="B49" s="37" t="s">
        <v>55</v>
      </c>
      <c r="C49" s="5">
        <f>'June 23'!H49</f>
        <v>34460.706099999996</v>
      </c>
      <c r="D49" s="5">
        <f t="shared" ref="D49:U49" si="14">SUM(D45:D48)</f>
        <v>61.11</v>
      </c>
      <c r="E49" s="5">
        <f t="shared" si="14"/>
        <v>527.12</v>
      </c>
      <c r="F49" s="5">
        <f t="shared" si="14"/>
        <v>0</v>
      </c>
      <c r="G49" s="5">
        <f t="shared" si="14"/>
        <v>0</v>
      </c>
      <c r="H49" s="5">
        <f t="shared" si="14"/>
        <v>34521.816099999989</v>
      </c>
      <c r="I49" s="5">
        <f>'June 23'!N49</f>
        <v>269.30499999999989</v>
      </c>
      <c r="J49" s="5">
        <f t="shared" si="14"/>
        <v>0</v>
      </c>
      <c r="K49" s="5">
        <f t="shared" si="14"/>
        <v>0.1</v>
      </c>
      <c r="L49" s="5">
        <f t="shared" si="14"/>
        <v>0</v>
      </c>
      <c r="M49" s="5">
        <f t="shared" si="14"/>
        <v>0</v>
      </c>
      <c r="N49" s="5">
        <f t="shared" si="14"/>
        <v>269.30499999999989</v>
      </c>
      <c r="O49" s="5">
        <f>'June 23'!T49</f>
        <v>254.64000000000001</v>
      </c>
      <c r="P49" s="5">
        <f t="shared" si="14"/>
        <v>0</v>
      </c>
      <c r="Q49" s="5">
        <f t="shared" si="14"/>
        <v>0.06</v>
      </c>
      <c r="R49" s="5">
        <f t="shared" si="14"/>
        <v>0</v>
      </c>
      <c r="S49" s="5">
        <f t="shared" si="14"/>
        <v>0</v>
      </c>
      <c r="T49" s="5">
        <f t="shared" si="14"/>
        <v>254.64000000000001</v>
      </c>
      <c r="U49" s="5">
        <f t="shared" si="14"/>
        <v>35045.761099999989</v>
      </c>
    </row>
    <row r="50" spans="1:24" s="4" customFormat="1" ht="38.25" customHeight="1">
      <c r="A50" s="34"/>
      <c r="B50" s="37" t="s">
        <v>56</v>
      </c>
      <c r="C50" s="5">
        <f>'June 23'!H50</f>
        <v>74989.672099999982</v>
      </c>
      <c r="D50" s="5">
        <f t="shared" ref="D50:U50" si="15">D49+D44</f>
        <v>670.86000000000013</v>
      </c>
      <c r="E50" s="5">
        <f t="shared" si="15"/>
        <v>3205.18</v>
      </c>
      <c r="F50" s="5">
        <f t="shared" si="15"/>
        <v>0</v>
      </c>
      <c r="G50" s="5">
        <f t="shared" si="15"/>
        <v>0</v>
      </c>
      <c r="H50" s="5">
        <f t="shared" si="15"/>
        <v>75660.532099999982</v>
      </c>
      <c r="I50" s="5">
        <f>'June 23'!N50</f>
        <v>495.82499999999987</v>
      </c>
      <c r="J50" s="5">
        <f t="shared" si="15"/>
        <v>0</v>
      </c>
      <c r="K50" s="5">
        <f t="shared" si="15"/>
        <v>0.1</v>
      </c>
      <c r="L50" s="5">
        <f t="shared" si="15"/>
        <v>0</v>
      </c>
      <c r="M50" s="5">
        <f t="shared" si="15"/>
        <v>0</v>
      </c>
      <c r="N50" s="5">
        <f t="shared" si="15"/>
        <v>495.82499999999987</v>
      </c>
      <c r="O50" s="5">
        <f>'June 23'!T50</f>
        <v>738.0100000000001</v>
      </c>
      <c r="P50" s="5">
        <f t="shared" si="15"/>
        <v>0</v>
      </c>
      <c r="Q50" s="5">
        <f t="shared" si="15"/>
        <v>0.06</v>
      </c>
      <c r="R50" s="5">
        <f t="shared" si="15"/>
        <v>0</v>
      </c>
      <c r="S50" s="5">
        <f t="shared" si="15"/>
        <v>0</v>
      </c>
      <c r="T50" s="5">
        <f t="shared" si="15"/>
        <v>738.0100000000001</v>
      </c>
      <c r="U50" s="5">
        <f t="shared" si="15"/>
        <v>76894.367099999974</v>
      </c>
    </row>
    <row r="51" spans="1:24" s="4" customFormat="1" ht="38.25" customHeight="1">
      <c r="A51" s="34"/>
      <c r="B51" s="37" t="s">
        <v>57</v>
      </c>
      <c r="C51" s="5">
        <f>'June 23'!H51</f>
        <v>124244.63689999998</v>
      </c>
      <c r="D51" s="5">
        <f t="shared" ref="D51:U51" si="16">D50+D39+D25</f>
        <v>1409.6389999999999</v>
      </c>
      <c r="E51" s="5">
        <f t="shared" si="16"/>
        <v>6232.1869999999999</v>
      </c>
      <c r="F51" s="5">
        <f t="shared" si="16"/>
        <v>3.5900000000000003</v>
      </c>
      <c r="G51" s="5">
        <f t="shared" si="16"/>
        <v>17.62</v>
      </c>
      <c r="H51" s="26">
        <f t="shared" si="16"/>
        <v>125650.68589999998</v>
      </c>
      <c r="I51" s="5">
        <f>'June 23'!N51</f>
        <v>11049.537</v>
      </c>
      <c r="J51" s="5">
        <f t="shared" si="16"/>
        <v>76.555000000000007</v>
      </c>
      <c r="K51" s="5">
        <f t="shared" si="16"/>
        <v>217.696</v>
      </c>
      <c r="L51" s="5">
        <f t="shared" si="16"/>
        <v>0</v>
      </c>
      <c r="M51" s="5">
        <f t="shared" si="16"/>
        <v>0.49</v>
      </c>
      <c r="N51" s="26">
        <f t="shared" si="16"/>
        <v>11126.092000000001</v>
      </c>
      <c r="O51" s="5">
        <f>'June 23'!T51</f>
        <v>1647.51</v>
      </c>
      <c r="P51" s="5">
        <f t="shared" si="16"/>
        <v>0</v>
      </c>
      <c r="Q51" s="5">
        <f t="shared" si="16"/>
        <v>1.53</v>
      </c>
      <c r="R51" s="5">
        <f t="shared" si="16"/>
        <v>16.239999999999998</v>
      </c>
      <c r="S51" s="5">
        <f t="shared" si="16"/>
        <v>47.5</v>
      </c>
      <c r="T51" s="26">
        <f t="shared" si="16"/>
        <v>1631.27</v>
      </c>
      <c r="U51" s="5">
        <f t="shared" si="16"/>
        <v>138408.04789999998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1466.364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6385.8029999999999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138408.04789999998</v>
      </c>
      <c r="K56" s="13"/>
      <c r="L56" s="13"/>
      <c r="M56" s="16"/>
      <c r="N56" s="13"/>
      <c r="P56" s="9"/>
      <c r="Q56" s="17"/>
      <c r="U56" s="17"/>
    </row>
    <row r="57" spans="1:24">
      <c r="H57" s="23"/>
      <c r="I57" s="24"/>
      <c r="J57" s="23"/>
    </row>
    <row r="58" spans="1:24">
      <c r="P58" s="1"/>
      <c r="Q58" s="1"/>
      <c r="R58" s="1"/>
      <c r="S58" s="2"/>
      <c r="T58" s="1"/>
      <c r="U58" s="1"/>
    </row>
    <row r="59" spans="1:24">
      <c r="P59" s="1"/>
      <c r="Q59" s="1"/>
      <c r="R59" s="1"/>
      <c r="S59" s="2"/>
      <c r="T59" s="1"/>
      <c r="U59" s="1"/>
    </row>
  </sheetData>
  <mergeCells count="26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topLeftCell="A43" zoomScale="39" zoomScaleNormal="39" workbookViewId="0">
      <selection activeCell="A49" sqref="A49:XFD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'July 2023'!H7</f>
        <v>7.179999999999982</v>
      </c>
      <c r="D7" s="3">
        <v>0</v>
      </c>
      <c r="E7" s="3">
        <f>'July 2023'!E7+'Aug 2023'!D7</f>
        <v>0</v>
      </c>
      <c r="F7" s="3">
        <v>0</v>
      </c>
      <c r="G7" s="3">
        <f>'July 2023'!G7+'Aug 2023'!F7</f>
        <v>0</v>
      </c>
      <c r="H7" s="3">
        <f>C7+D7-F7</f>
        <v>7.179999999999982</v>
      </c>
      <c r="I7" s="3">
        <f>'July 2023'!N7</f>
        <v>723.00699999999972</v>
      </c>
      <c r="J7" s="3">
        <v>1.25</v>
      </c>
      <c r="K7" s="3">
        <f>'July 2023'!K7+'Aug 2023'!J7</f>
        <v>9.8000000000000007</v>
      </c>
      <c r="L7" s="3">
        <v>0</v>
      </c>
      <c r="M7" s="3">
        <f>'July 2023'!M7+'Aug 2023'!L7</f>
        <v>0</v>
      </c>
      <c r="N7" s="3">
        <f>I7+J7-L7</f>
        <v>724.25699999999972</v>
      </c>
      <c r="O7" s="3">
        <f>'July 2023'!T7</f>
        <v>8.436000000000007</v>
      </c>
      <c r="P7" s="3">
        <v>0</v>
      </c>
      <c r="Q7" s="3">
        <f>'July 2023'!Q7+'Aug 2023'!P7</f>
        <v>0</v>
      </c>
      <c r="R7" s="3">
        <v>0</v>
      </c>
      <c r="S7" s="3">
        <f>'July 2023'!S7+'Aug 2023'!R7</f>
        <v>0</v>
      </c>
      <c r="T7" s="3">
        <f>O7+P7-R7</f>
        <v>8.436000000000007</v>
      </c>
      <c r="U7" s="3">
        <f>H7+N7+T7</f>
        <v>739.87299999999971</v>
      </c>
    </row>
    <row r="8" spans="1:22" ht="38.25" customHeight="1">
      <c r="A8" s="35">
        <v>2</v>
      </c>
      <c r="B8" s="38" t="s">
        <v>14</v>
      </c>
      <c r="C8" s="3">
        <f>'July 2023'!H8</f>
        <v>265.98999999999995</v>
      </c>
      <c r="D8" s="3">
        <v>0</v>
      </c>
      <c r="E8" s="3">
        <f>'July 2023'!E8+'Aug 2023'!D8</f>
        <v>0</v>
      </c>
      <c r="F8" s="3">
        <v>0</v>
      </c>
      <c r="G8" s="3">
        <f>'July 2023'!G8+'Aug 2023'!F8</f>
        <v>0</v>
      </c>
      <c r="H8" s="3">
        <f t="shared" ref="H8:H48" si="0">C8+D8-F8</f>
        <v>265.98999999999995</v>
      </c>
      <c r="I8" s="3">
        <f>'July 2023'!N8</f>
        <v>440.59600000000012</v>
      </c>
      <c r="J8" s="3">
        <v>28.68</v>
      </c>
      <c r="K8" s="3">
        <f>'July 2023'!K8+'Aug 2023'!J8</f>
        <v>71.13000000000001</v>
      </c>
      <c r="L8" s="3">
        <v>0</v>
      </c>
      <c r="M8" s="3">
        <f>'July 2023'!M8+'Aug 2023'!L8</f>
        <v>0</v>
      </c>
      <c r="N8" s="3">
        <f t="shared" ref="N8:N48" si="1">I8+J8-L8</f>
        <v>469.27600000000012</v>
      </c>
      <c r="O8" s="3">
        <f>'July 2023'!T8</f>
        <v>66.290000000000006</v>
      </c>
      <c r="P8" s="3">
        <v>0</v>
      </c>
      <c r="Q8" s="3">
        <f>'July 2023'!Q8+'Aug 2023'!P8</f>
        <v>0</v>
      </c>
      <c r="R8" s="3">
        <v>0</v>
      </c>
      <c r="S8" s="3">
        <f>'July 2023'!S8+'Aug 2023'!R8</f>
        <v>0</v>
      </c>
      <c r="T8" s="3">
        <f t="shared" ref="T8:T48" si="2">O8+P8-R8</f>
        <v>66.290000000000006</v>
      </c>
      <c r="U8" s="3">
        <f t="shared" ref="U8:U48" si="3">H8+N8+T8</f>
        <v>801.55600000000004</v>
      </c>
    </row>
    <row r="9" spans="1:22" ht="38.25" customHeight="1">
      <c r="A9" s="35">
        <v>3</v>
      </c>
      <c r="B9" s="38" t="s">
        <v>15</v>
      </c>
      <c r="C9" s="3">
        <f>'July 2023'!H9</f>
        <v>209.16</v>
      </c>
      <c r="D9" s="3">
        <v>0</v>
      </c>
      <c r="E9" s="3">
        <f>'July 2023'!E9+'Aug 2023'!D9</f>
        <v>0</v>
      </c>
      <c r="F9" s="3">
        <v>0</v>
      </c>
      <c r="G9" s="3">
        <f>'July 2023'!G9+'Aug 2023'!F9</f>
        <v>0</v>
      </c>
      <c r="H9" s="3">
        <f t="shared" si="0"/>
        <v>209.16</v>
      </c>
      <c r="I9" s="3">
        <f>'July 2023'!N9</f>
        <v>929.05799999999988</v>
      </c>
      <c r="J9" s="3">
        <v>4.59</v>
      </c>
      <c r="K9" s="3">
        <f>'July 2023'!K9+'Aug 2023'!J9</f>
        <v>30.4</v>
      </c>
      <c r="L9" s="3">
        <v>0</v>
      </c>
      <c r="M9" s="3">
        <f>'July 2023'!M9+'Aug 2023'!L9</f>
        <v>0</v>
      </c>
      <c r="N9" s="3">
        <f t="shared" si="1"/>
        <v>933.64799999999991</v>
      </c>
      <c r="O9" s="3">
        <f>'July 2023'!T9</f>
        <v>44.739999999999995</v>
      </c>
      <c r="P9" s="3">
        <v>0</v>
      </c>
      <c r="Q9" s="3">
        <f>'July 2023'!Q9+'Aug 2023'!P9</f>
        <v>0</v>
      </c>
      <c r="R9" s="3">
        <v>0</v>
      </c>
      <c r="S9" s="3">
        <f>'July 2023'!S9+'Aug 2023'!R9</f>
        <v>0</v>
      </c>
      <c r="T9" s="3">
        <f t="shared" si="2"/>
        <v>44.739999999999995</v>
      </c>
      <c r="U9" s="3">
        <f t="shared" si="3"/>
        <v>1187.548</v>
      </c>
    </row>
    <row r="10" spans="1:22" s="4" customFormat="1" ht="38.25" customHeight="1">
      <c r="A10" s="35">
        <v>4</v>
      </c>
      <c r="B10" s="38" t="s">
        <v>16</v>
      </c>
      <c r="C10" s="3">
        <f>'July 2023'!H10</f>
        <v>0</v>
      </c>
      <c r="D10" s="3">
        <v>0</v>
      </c>
      <c r="E10" s="3">
        <f>'July 2023'!E10+'Aug 2023'!D10</f>
        <v>0</v>
      </c>
      <c r="F10" s="3">
        <v>0</v>
      </c>
      <c r="G10" s="3">
        <f>'July 2023'!G10+'Aug 2023'!F10</f>
        <v>0</v>
      </c>
      <c r="H10" s="3">
        <f t="shared" si="0"/>
        <v>0</v>
      </c>
      <c r="I10" s="3">
        <f>'July 2023'!N10</f>
        <v>368.13099999999986</v>
      </c>
      <c r="J10" s="3">
        <v>3.0950000000000002</v>
      </c>
      <c r="K10" s="3">
        <f>'July 2023'!K10+'Aug 2023'!J10</f>
        <v>6.2530000000000001</v>
      </c>
      <c r="L10" s="3">
        <v>0</v>
      </c>
      <c r="M10" s="3">
        <f>'July 2023'!M10+'Aug 2023'!L10</f>
        <v>0</v>
      </c>
      <c r="N10" s="3">
        <f t="shared" si="1"/>
        <v>371.22599999999989</v>
      </c>
      <c r="O10" s="3">
        <f>'July 2023'!T10</f>
        <v>0.20000000000000007</v>
      </c>
      <c r="P10" s="3">
        <v>0</v>
      </c>
      <c r="Q10" s="3">
        <f>'July 2023'!Q10+'Aug 2023'!P10</f>
        <v>0</v>
      </c>
      <c r="R10" s="3">
        <v>0</v>
      </c>
      <c r="S10" s="3">
        <f>'July 2023'!S10+'Aug 2023'!R10</f>
        <v>0</v>
      </c>
      <c r="T10" s="3">
        <f t="shared" si="2"/>
        <v>0.20000000000000007</v>
      </c>
      <c r="U10" s="3">
        <f t="shared" si="3"/>
        <v>371.42599999999987</v>
      </c>
    </row>
    <row r="11" spans="1:22" s="4" customFormat="1" ht="38.25" customHeight="1">
      <c r="A11" s="34"/>
      <c r="B11" s="37" t="s">
        <v>17</v>
      </c>
      <c r="C11" s="5">
        <f>'July 2023'!H11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'July 2023'!N11</f>
        <v>2460.7919999999995</v>
      </c>
      <c r="J11" s="5">
        <f t="shared" si="4"/>
        <v>37.614999999999995</v>
      </c>
      <c r="K11" s="5">
        <f t="shared" si="4"/>
        <v>117.58300000000001</v>
      </c>
      <c r="L11" s="5">
        <f t="shared" si="4"/>
        <v>0</v>
      </c>
      <c r="M11" s="5">
        <f t="shared" si="4"/>
        <v>0</v>
      </c>
      <c r="N11" s="5">
        <f t="shared" si="4"/>
        <v>2498.4069999999992</v>
      </c>
      <c r="O11" s="5">
        <f>'July 2023'!T11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3100.4029999999998</v>
      </c>
      <c r="V11" s="33"/>
    </row>
    <row r="12" spans="1:22" ht="38.25" customHeight="1">
      <c r="A12" s="35">
        <v>5</v>
      </c>
      <c r="B12" s="38" t="s">
        <v>18</v>
      </c>
      <c r="C12" s="3">
        <f>'July 2023'!H12</f>
        <v>22.179999999999609</v>
      </c>
      <c r="D12" s="3">
        <v>0</v>
      </c>
      <c r="E12" s="3">
        <f>'July 2023'!E12+'Aug 2023'!D12</f>
        <v>0</v>
      </c>
      <c r="F12" s="3">
        <v>0</v>
      </c>
      <c r="G12" s="3">
        <f>'July 2023'!G12+'Aug 2023'!F12</f>
        <v>0</v>
      </c>
      <c r="H12" s="3">
        <f t="shared" si="0"/>
        <v>22.179999999999609</v>
      </c>
      <c r="I12" s="3">
        <f>'July 2023'!N12</f>
        <v>1289.3149999999998</v>
      </c>
      <c r="J12" s="25">
        <f>1.62+1.47</f>
        <v>3.09</v>
      </c>
      <c r="K12" s="3">
        <f>'July 2023'!K12+'Aug 2023'!J12</f>
        <v>15.97</v>
      </c>
      <c r="L12" s="3">
        <v>0</v>
      </c>
      <c r="M12" s="3">
        <f>'July 2023'!M12+'Aug 2023'!L12</f>
        <v>0</v>
      </c>
      <c r="N12" s="3">
        <f t="shared" si="1"/>
        <v>1292.4049999999997</v>
      </c>
      <c r="O12" s="3">
        <f>'July 2023'!T12</f>
        <v>1.9700000000000095</v>
      </c>
      <c r="P12" s="3">
        <v>0</v>
      </c>
      <c r="Q12" s="3">
        <f>'July 2023'!Q12+'Aug 2023'!P12</f>
        <v>0</v>
      </c>
      <c r="R12" s="3">
        <v>0</v>
      </c>
      <c r="S12" s="3">
        <f>'July 2023'!S12+'Aug 2023'!R12</f>
        <v>0</v>
      </c>
      <c r="T12" s="3">
        <f t="shared" si="2"/>
        <v>1.9700000000000095</v>
      </c>
      <c r="U12" s="3">
        <f t="shared" si="3"/>
        <v>1316.5549999999994</v>
      </c>
    </row>
    <row r="13" spans="1:22" ht="38.25" customHeight="1">
      <c r="A13" s="35">
        <v>6</v>
      </c>
      <c r="B13" s="38" t="s">
        <v>19</v>
      </c>
      <c r="C13" s="3">
        <f>'July 2023'!H13</f>
        <v>312.23000000000013</v>
      </c>
      <c r="D13" s="3">
        <v>0</v>
      </c>
      <c r="E13" s="3">
        <f>'July 2023'!E13+'Aug 2023'!D13</f>
        <v>0</v>
      </c>
      <c r="F13" s="3">
        <v>0</v>
      </c>
      <c r="G13" s="3">
        <f>'July 2023'!G13+'Aug 2023'!F13</f>
        <v>0</v>
      </c>
      <c r="H13" s="3">
        <f t="shared" si="0"/>
        <v>312.23000000000013</v>
      </c>
      <c r="I13" s="3">
        <f>'July 2023'!N13</f>
        <v>552.02200000000028</v>
      </c>
      <c r="J13" s="25">
        <f>1.83+0.92</f>
        <v>2.75</v>
      </c>
      <c r="K13" s="3">
        <f>'July 2023'!K13+'Aug 2023'!J13</f>
        <v>9.24</v>
      </c>
      <c r="L13" s="3">
        <v>0</v>
      </c>
      <c r="M13" s="3">
        <f>'July 2023'!M13+'Aug 2023'!L13</f>
        <v>0</v>
      </c>
      <c r="N13" s="3">
        <f t="shared" si="1"/>
        <v>554.77200000000028</v>
      </c>
      <c r="O13" s="3">
        <f>'July 2023'!T13</f>
        <v>68.39</v>
      </c>
      <c r="P13" s="3">
        <v>0</v>
      </c>
      <c r="Q13" s="3">
        <f>'July 2023'!Q13+'Aug 2023'!P13</f>
        <v>0</v>
      </c>
      <c r="R13" s="3">
        <v>0</v>
      </c>
      <c r="S13" s="3">
        <f>'July 2023'!S13+'Aug 2023'!R13</f>
        <v>0</v>
      </c>
      <c r="T13" s="3">
        <f t="shared" si="2"/>
        <v>68.39</v>
      </c>
      <c r="U13" s="3">
        <f t="shared" si="3"/>
        <v>935.39200000000039</v>
      </c>
    </row>
    <row r="14" spans="1:22" s="4" customFormat="1" ht="38.25" customHeight="1">
      <c r="A14" s="35">
        <v>7</v>
      </c>
      <c r="B14" s="38" t="s">
        <v>20</v>
      </c>
      <c r="C14" s="3">
        <f>'July 2023'!H14</f>
        <v>1216.4399999999994</v>
      </c>
      <c r="D14" s="3">
        <v>0</v>
      </c>
      <c r="E14" s="3">
        <f>'July 2023'!E14+'Aug 2023'!D14</f>
        <v>0</v>
      </c>
      <c r="F14" s="3">
        <v>0</v>
      </c>
      <c r="G14" s="3">
        <f>'July 2023'!G14+'Aug 2023'!F14</f>
        <v>0</v>
      </c>
      <c r="H14" s="3">
        <f t="shared" si="0"/>
        <v>1216.4399999999994</v>
      </c>
      <c r="I14" s="3">
        <f>'July 2023'!N14</f>
        <v>923.26800000000037</v>
      </c>
      <c r="J14" s="25">
        <f>2.88+2.17</f>
        <v>5.05</v>
      </c>
      <c r="K14" s="3">
        <f>'July 2023'!K14+'Aug 2023'!J14</f>
        <v>24.82</v>
      </c>
      <c r="L14" s="3">
        <v>0</v>
      </c>
      <c r="M14" s="3">
        <f>'July 2023'!M14+'Aug 2023'!L14</f>
        <v>0</v>
      </c>
      <c r="N14" s="3">
        <f t="shared" si="1"/>
        <v>928.31800000000032</v>
      </c>
      <c r="O14" s="3">
        <f>'July 2023'!T14</f>
        <v>61.329999999999991</v>
      </c>
      <c r="P14" s="3">
        <v>0</v>
      </c>
      <c r="Q14" s="3">
        <f>'July 2023'!Q14+'Aug 2023'!P14</f>
        <v>0</v>
      </c>
      <c r="R14" s="3">
        <v>0</v>
      </c>
      <c r="S14" s="3">
        <f>'July 2023'!S14+'Aug 2023'!R14</f>
        <v>0</v>
      </c>
      <c r="T14" s="3">
        <f t="shared" si="2"/>
        <v>61.329999999999991</v>
      </c>
      <c r="U14" s="3">
        <f t="shared" si="3"/>
        <v>2206.0879999999997</v>
      </c>
    </row>
    <row r="15" spans="1:22" s="4" customFormat="1" ht="38.25" customHeight="1">
      <c r="A15" s="34"/>
      <c r="B15" s="37" t="s">
        <v>21</v>
      </c>
      <c r="C15" s="5">
        <f>'July 2023'!H15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1550.849999999999</v>
      </c>
      <c r="I15" s="5">
        <f>'July 2023'!N15</f>
        <v>2764.6050000000005</v>
      </c>
      <c r="J15" s="5">
        <f t="shared" si="5"/>
        <v>10.89</v>
      </c>
      <c r="K15" s="5">
        <f t="shared" si="5"/>
        <v>50.03</v>
      </c>
      <c r="L15" s="5">
        <f t="shared" si="5"/>
        <v>0</v>
      </c>
      <c r="M15" s="5">
        <f t="shared" si="5"/>
        <v>0</v>
      </c>
      <c r="N15" s="5">
        <f t="shared" si="5"/>
        <v>2775.4950000000003</v>
      </c>
      <c r="O15" s="5">
        <f>'July 2023'!T15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4458.0349999999999</v>
      </c>
      <c r="V15" s="33"/>
    </row>
    <row r="16" spans="1:22" s="6" customFormat="1" ht="38.25" customHeight="1">
      <c r="A16" s="35">
        <v>8</v>
      </c>
      <c r="B16" s="38" t="s">
        <v>22</v>
      </c>
      <c r="C16" s="3">
        <f>'July 2023'!H16</f>
        <v>759.22400000000039</v>
      </c>
      <c r="D16" s="3">
        <v>1.76</v>
      </c>
      <c r="E16" s="3">
        <f>'July 2023'!E16+'Aug 2023'!D16</f>
        <v>9.0499999999999989</v>
      </c>
      <c r="F16" s="3">
        <v>2.2999999999999998</v>
      </c>
      <c r="G16" s="3">
        <f>'July 2023'!G16+'Aug 2023'!F16</f>
        <v>6.53</v>
      </c>
      <c r="H16" s="3">
        <f t="shared" si="0"/>
        <v>758.68400000000042</v>
      </c>
      <c r="I16" s="3">
        <f>'July 2023'!N16</f>
        <v>580.56600000000026</v>
      </c>
      <c r="J16" s="3">
        <v>2.31</v>
      </c>
      <c r="K16" s="3">
        <f>'July 2023'!K16+'Aug 2023'!J16</f>
        <v>5.9</v>
      </c>
      <c r="L16" s="3">
        <v>0</v>
      </c>
      <c r="M16" s="3">
        <f>'July 2023'!M16+'Aug 2023'!L16</f>
        <v>0</v>
      </c>
      <c r="N16" s="3">
        <f t="shared" si="1"/>
        <v>582.8760000000002</v>
      </c>
      <c r="O16" s="3">
        <f>'July 2023'!T16</f>
        <v>146.69200000000004</v>
      </c>
      <c r="P16" s="3">
        <v>0</v>
      </c>
      <c r="Q16" s="3">
        <f>'July 2023'!Q16+'Aug 2023'!P16</f>
        <v>0.08</v>
      </c>
      <c r="R16" s="3">
        <v>32.6</v>
      </c>
      <c r="S16" s="3">
        <f>'July 2023'!S16+'Aug 2023'!R16</f>
        <v>63.430000000000007</v>
      </c>
      <c r="T16" s="3">
        <f t="shared" si="2"/>
        <v>114.09200000000004</v>
      </c>
      <c r="U16" s="3">
        <f t="shared" si="3"/>
        <v>1455.6520000000007</v>
      </c>
    </row>
    <row r="17" spans="1:23" ht="61.5" customHeight="1">
      <c r="A17" s="7">
        <v>9</v>
      </c>
      <c r="B17" s="8" t="s">
        <v>23</v>
      </c>
      <c r="C17" s="3">
        <f>'July 2023'!H17</f>
        <v>2.7259999999999476</v>
      </c>
      <c r="D17" s="3">
        <v>0</v>
      </c>
      <c r="E17" s="3">
        <f>'July 2023'!E17+'Aug 2023'!D17</f>
        <v>0.05</v>
      </c>
      <c r="F17" s="3">
        <v>0</v>
      </c>
      <c r="G17" s="3">
        <f>'July 2023'!G17+'Aug 2023'!F17</f>
        <v>0</v>
      </c>
      <c r="H17" s="3">
        <f t="shared" si="0"/>
        <v>2.7259999999999476</v>
      </c>
      <c r="I17" s="3">
        <f>'July 2023'!N17</f>
        <v>602.07000000000005</v>
      </c>
      <c r="J17" s="3">
        <v>2.64</v>
      </c>
      <c r="K17" s="3">
        <f>'July 2023'!K17+'Aug 2023'!J17</f>
        <v>16.02</v>
      </c>
      <c r="L17" s="3">
        <v>0</v>
      </c>
      <c r="M17" s="3">
        <f>'July 2023'!M17+'Aug 2023'!L17</f>
        <v>0.43</v>
      </c>
      <c r="N17" s="3">
        <f t="shared" si="1"/>
        <v>604.71</v>
      </c>
      <c r="O17" s="3">
        <f>'July 2023'!T17</f>
        <v>2.7399999999999998</v>
      </c>
      <c r="P17" s="3">
        <v>0</v>
      </c>
      <c r="Q17" s="3">
        <f>'July 2023'!Q17+'Aug 2023'!P17</f>
        <v>1.22</v>
      </c>
      <c r="R17" s="3">
        <v>1.2</v>
      </c>
      <c r="S17" s="3">
        <f>'July 2023'!S17+'Aug 2023'!R17</f>
        <v>1.63</v>
      </c>
      <c r="T17" s="3">
        <f t="shared" si="2"/>
        <v>1.5399999999999998</v>
      </c>
      <c r="U17" s="3">
        <f t="shared" si="3"/>
        <v>608.976</v>
      </c>
    </row>
    <row r="18" spans="1:23" s="4" customFormat="1" ht="38.25" customHeight="1">
      <c r="A18" s="35">
        <v>10</v>
      </c>
      <c r="B18" s="38" t="s">
        <v>24</v>
      </c>
      <c r="C18" s="3">
        <f>'July 2023'!H18</f>
        <v>90.266000000000147</v>
      </c>
      <c r="D18" s="3">
        <v>0</v>
      </c>
      <c r="E18" s="3">
        <f>'July 2023'!E18+'Aug 2023'!D18</f>
        <v>0.05</v>
      </c>
      <c r="F18" s="3">
        <v>0</v>
      </c>
      <c r="G18" s="3">
        <f>'July 2023'!G18+'Aug 2023'!F18</f>
        <v>0.05</v>
      </c>
      <c r="H18" s="3">
        <f t="shared" si="0"/>
        <v>90.266000000000147</v>
      </c>
      <c r="I18" s="3">
        <f>'July 2023'!N18</f>
        <v>621.85</v>
      </c>
      <c r="J18" s="3">
        <v>1.36</v>
      </c>
      <c r="K18" s="3">
        <f>'July 2023'!K18+'Aug 2023'!J18</f>
        <v>5.915</v>
      </c>
      <c r="L18" s="3">
        <v>0</v>
      </c>
      <c r="M18" s="3">
        <f>'July 2023'!M18+'Aug 2023'!L18</f>
        <v>0</v>
      </c>
      <c r="N18" s="3">
        <f t="shared" si="1"/>
        <v>623.21</v>
      </c>
      <c r="O18" s="3">
        <f>'July 2023'!T18</f>
        <v>35.689999999999991</v>
      </c>
      <c r="P18" s="3">
        <v>0</v>
      </c>
      <c r="Q18" s="3">
        <f>'July 2023'!Q18+'Aug 2023'!P18</f>
        <v>0</v>
      </c>
      <c r="R18" s="3">
        <v>0</v>
      </c>
      <c r="S18" s="3">
        <f>'July 2023'!S18+'Aug 2023'!R18</f>
        <v>0</v>
      </c>
      <c r="T18" s="3">
        <f t="shared" si="2"/>
        <v>35.689999999999991</v>
      </c>
      <c r="U18" s="3">
        <f t="shared" si="3"/>
        <v>749.16600000000017</v>
      </c>
    </row>
    <row r="19" spans="1:23" s="4" customFormat="1" ht="38.25" customHeight="1">
      <c r="A19" s="34"/>
      <c r="B19" s="37" t="s">
        <v>25</v>
      </c>
      <c r="C19" s="5">
        <f>'July 2023'!H19</f>
        <v>852.21600000000058</v>
      </c>
      <c r="D19" s="5">
        <f t="shared" ref="D19:U19" si="6">SUM(D16:D18)</f>
        <v>1.76</v>
      </c>
      <c r="E19" s="5">
        <f t="shared" si="6"/>
        <v>9.15</v>
      </c>
      <c r="F19" s="5">
        <f t="shared" si="6"/>
        <v>2.2999999999999998</v>
      </c>
      <c r="G19" s="5">
        <f t="shared" si="6"/>
        <v>6.58</v>
      </c>
      <c r="H19" s="5">
        <f t="shared" si="6"/>
        <v>851.67600000000061</v>
      </c>
      <c r="I19" s="5">
        <f>'July 2023'!N19</f>
        <v>1804.4860000000003</v>
      </c>
      <c r="J19" s="5">
        <f t="shared" si="6"/>
        <v>6.3100000000000005</v>
      </c>
      <c r="K19" s="5">
        <f t="shared" si="6"/>
        <v>27.835000000000001</v>
      </c>
      <c r="L19" s="5">
        <f t="shared" si="6"/>
        <v>0</v>
      </c>
      <c r="M19" s="5">
        <f t="shared" si="6"/>
        <v>0.43</v>
      </c>
      <c r="N19" s="5">
        <f t="shared" si="6"/>
        <v>1810.7960000000003</v>
      </c>
      <c r="O19" s="5">
        <f>'July 2023'!T19</f>
        <v>185.12200000000004</v>
      </c>
      <c r="P19" s="5">
        <f t="shared" si="6"/>
        <v>0</v>
      </c>
      <c r="Q19" s="5">
        <f t="shared" si="6"/>
        <v>1.3</v>
      </c>
      <c r="R19" s="5">
        <f t="shared" si="6"/>
        <v>33.800000000000004</v>
      </c>
      <c r="S19" s="5">
        <f t="shared" si="6"/>
        <v>65.06</v>
      </c>
      <c r="T19" s="5">
        <f t="shared" si="6"/>
        <v>151.32200000000003</v>
      </c>
      <c r="U19" s="5">
        <f t="shared" si="6"/>
        <v>2813.7940000000008</v>
      </c>
    </row>
    <row r="20" spans="1:23" ht="38.25" customHeight="1">
      <c r="A20" s="35">
        <v>11</v>
      </c>
      <c r="B20" s="38" t="s">
        <v>26</v>
      </c>
      <c r="C20" s="3">
        <f>'July 2023'!H20</f>
        <v>607.42999999999984</v>
      </c>
      <c r="D20" s="3">
        <v>0</v>
      </c>
      <c r="E20" s="3">
        <f>'July 2023'!E20+'Aug 2023'!D20</f>
        <v>0</v>
      </c>
      <c r="F20" s="3">
        <v>0</v>
      </c>
      <c r="G20" s="3">
        <f>'July 2023'!G20+'Aug 2023'!F20</f>
        <v>0</v>
      </c>
      <c r="H20" s="3">
        <f t="shared" si="0"/>
        <v>607.42999999999984</v>
      </c>
      <c r="I20" s="3">
        <f>'July 2023'!N20</f>
        <v>756.99800000000016</v>
      </c>
      <c r="J20" s="3">
        <v>2.19</v>
      </c>
      <c r="K20" s="3">
        <f>'July 2023'!K20+'Aug 2023'!J20</f>
        <v>10.799999999999999</v>
      </c>
      <c r="L20" s="3">
        <v>0</v>
      </c>
      <c r="M20" s="3">
        <f>'July 2023'!M20+'Aug 2023'!L20</f>
        <v>0.02</v>
      </c>
      <c r="N20" s="3">
        <f t="shared" si="1"/>
        <v>759.18800000000022</v>
      </c>
      <c r="O20" s="3">
        <f>'July 2023'!T20</f>
        <v>37.580000000000005</v>
      </c>
      <c r="P20" s="3">
        <v>0</v>
      </c>
      <c r="Q20" s="3">
        <f>'July 2023'!Q20+'Aug 2023'!P20</f>
        <v>0</v>
      </c>
      <c r="R20" s="3">
        <v>0</v>
      </c>
      <c r="S20" s="3">
        <f>'July 2023'!S20+'Aug 2023'!R20</f>
        <v>0</v>
      </c>
      <c r="T20" s="3">
        <f t="shared" si="2"/>
        <v>37.580000000000005</v>
      </c>
      <c r="U20" s="3">
        <f t="shared" si="3"/>
        <v>1404.1979999999999</v>
      </c>
      <c r="W20" s="90"/>
    </row>
    <row r="21" spans="1:23" ht="38.25" customHeight="1">
      <c r="A21" s="35">
        <v>12</v>
      </c>
      <c r="B21" s="38" t="s">
        <v>27</v>
      </c>
      <c r="C21" s="3">
        <f>'July 2023'!H21</f>
        <v>1.2000000000000002</v>
      </c>
      <c r="D21" s="3">
        <v>0</v>
      </c>
      <c r="E21" s="3">
        <f>'July 2023'!E21+'Aug 2023'!D21</f>
        <v>0</v>
      </c>
      <c r="F21" s="3">
        <v>0</v>
      </c>
      <c r="G21" s="3">
        <f>'July 2023'!G21+'Aug 2023'!F21</f>
        <v>0.87</v>
      </c>
      <c r="H21" s="3">
        <f t="shared" si="0"/>
        <v>1.2000000000000002</v>
      </c>
      <c r="I21" s="3">
        <f>'July 2023'!N21</f>
        <v>466.01700000000011</v>
      </c>
      <c r="J21" s="3">
        <v>3.93</v>
      </c>
      <c r="K21" s="3">
        <f>'July 2023'!K21+'Aug 2023'!J21</f>
        <v>8.5400000000000009</v>
      </c>
      <c r="L21" s="3">
        <v>0</v>
      </c>
      <c r="M21" s="3">
        <f>'July 2023'!M21+'Aug 2023'!L21</f>
        <v>0.02</v>
      </c>
      <c r="N21" s="3">
        <f t="shared" si="1"/>
        <v>469.94700000000012</v>
      </c>
      <c r="O21" s="3">
        <f>'July 2023'!T21</f>
        <v>2.649999999999995</v>
      </c>
      <c r="P21" s="3">
        <v>0</v>
      </c>
      <c r="Q21" s="3">
        <f>'July 2023'!Q21+'Aug 2023'!P21</f>
        <v>0</v>
      </c>
      <c r="R21" s="3">
        <v>0</v>
      </c>
      <c r="S21" s="3">
        <f>'July 2023'!S21+'Aug 2023'!R21</f>
        <v>16.239999999999998</v>
      </c>
      <c r="T21" s="3">
        <f t="shared" si="2"/>
        <v>2.649999999999995</v>
      </c>
      <c r="U21" s="3">
        <f t="shared" si="3"/>
        <v>473.79700000000008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'July 2023'!H22</f>
        <v>22.430000000000021</v>
      </c>
      <c r="D22" s="3">
        <v>0</v>
      </c>
      <c r="E22" s="3">
        <f>'July 2023'!E22+'Aug 2023'!D22</f>
        <v>0</v>
      </c>
      <c r="F22" s="3">
        <v>0</v>
      </c>
      <c r="G22" s="3">
        <f>'July 2023'!G22+'Aug 2023'!F22</f>
        <v>0</v>
      </c>
      <c r="H22" s="3">
        <f t="shared" si="0"/>
        <v>22.430000000000021</v>
      </c>
      <c r="I22" s="3">
        <f>'July 2023'!N22</f>
        <v>699.96</v>
      </c>
      <c r="J22" s="3">
        <v>0.62</v>
      </c>
      <c r="K22" s="3">
        <f>'July 2023'!K22+'Aug 2023'!J22</f>
        <v>2.3600000000000003</v>
      </c>
      <c r="L22" s="3">
        <v>0</v>
      </c>
      <c r="M22" s="3">
        <f>'July 2023'!M22+'Aug 2023'!L22</f>
        <v>0</v>
      </c>
      <c r="N22" s="3">
        <f t="shared" si="1"/>
        <v>700.58</v>
      </c>
      <c r="O22" s="3">
        <f>'July 2023'!T22</f>
        <v>0.60000000000000098</v>
      </c>
      <c r="P22" s="3">
        <v>0</v>
      </c>
      <c r="Q22" s="3">
        <f>'July 2023'!Q22+'Aug 2023'!P22</f>
        <v>0</v>
      </c>
      <c r="R22" s="3">
        <v>0</v>
      </c>
      <c r="S22" s="3">
        <f>'July 2023'!S22+'Aug 2023'!R22</f>
        <v>0</v>
      </c>
      <c r="T22" s="3">
        <f t="shared" si="2"/>
        <v>0.60000000000000098</v>
      </c>
      <c r="U22" s="3">
        <f t="shared" si="3"/>
        <v>723.61000000000013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'July 2023'!H23</f>
        <v>432.16999999999996</v>
      </c>
      <c r="D23" s="3">
        <v>0</v>
      </c>
      <c r="E23" s="3">
        <f>'July 2023'!E23+'Aug 2023'!D23</f>
        <v>1.53</v>
      </c>
      <c r="F23" s="3">
        <v>0</v>
      </c>
      <c r="G23" s="3">
        <f>'July 2023'!G23+'Aug 2023'!F23</f>
        <v>0</v>
      </c>
      <c r="H23" s="3">
        <f t="shared" si="0"/>
        <v>432.16999999999996</v>
      </c>
      <c r="I23" s="3">
        <f>'July 2023'!N23</f>
        <v>143.62499999999997</v>
      </c>
      <c r="J23" s="3">
        <v>1.1599999999999999</v>
      </c>
      <c r="K23" s="3">
        <f>'July 2023'!K23+'Aug 2023'!J23</f>
        <v>5.23</v>
      </c>
      <c r="L23" s="3">
        <v>0</v>
      </c>
      <c r="M23" s="3">
        <f>'July 2023'!M23+'Aug 2023'!L23</f>
        <v>0</v>
      </c>
      <c r="N23" s="3">
        <f t="shared" si="1"/>
        <v>144.78499999999997</v>
      </c>
      <c r="O23" s="3">
        <f>'July 2023'!T23</f>
        <v>22.5</v>
      </c>
      <c r="P23" s="3">
        <v>0</v>
      </c>
      <c r="Q23" s="3">
        <f>'July 2023'!Q23+'Aug 2023'!P23</f>
        <v>0</v>
      </c>
      <c r="R23" s="3">
        <v>0</v>
      </c>
      <c r="S23" s="3">
        <f>'July 2023'!S23+'Aug 2023'!R23</f>
        <v>0</v>
      </c>
      <c r="T23" s="3">
        <f t="shared" si="2"/>
        <v>22.5</v>
      </c>
      <c r="U23" s="3">
        <f t="shared" si="3"/>
        <v>599.45499999999993</v>
      </c>
      <c r="W23" s="90"/>
    </row>
    <row r="24" spans="1:23" s="4" customFormat="1" ht="38.25" customHeight="1">
      <c r="A24" s="34"/>
      <c r="B24" s="37" t="s">
        <v>30</v>
      </c>
      <c r="C24" s="5">
        <f>'July 2023'!H24</f>
        <v>1063.23</v>
      </c>
      <c r="D24" s="5">
        <f t="shared" ref="D24:U24" si="7">SUM(D20:D23)</f>
        <v>0</v>
      </c>
      <c r="E24" s="5">
        <f t="shared" si="7"/>
        <v>1.53</v>
      </c>
      <c r="F24" s="5">
        <f t="shared" si="7"/>
        <v>0</v>
      </c>
      <c r="G24" s="5">
        <f t="shared" si="7"/>
        <v>0.87</v>
      </c>
      <c r="H24" s="5">
        <f t="shared" si="7"/>
        <v>1063.23</v>
      </c>
      <c r="I24" s="5">
        <f>'July 2023'!N24</f>
        <v>2066.6000000000004</v>
      </c>
      <c r="J24" s="5">
        <f t="shared" si="7"/>
        <v>7.9</v>
      </c>
      <c r="K24" s="5">
        <f t="shared" si="7"/>
        <v>26.93</v>
      </c>
      <c r="L24" s="5">
        <f t="shared" si="7"/>
        <v>0</v>
      </c>
      <c r="M24" s="5">
        <f t="shared" si="7"/>
        <v>0.04</v>
      </c>
      <c r="N24" s="5">
        <f t="shared" si="7"/>
        <v>2074.5</v>
      </c>
      <c r="O24" s="5">
        <f>'July 2023'!T24</f>
        <v>63.330000000000005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16.239999999999998</v>
      </c>
      <c r="T24" s="5">
        <f t="shared" si="7"/>
        <v>63.330000000000005</v>
      </c>
      <c r="U24" s="5">
        <f t="shared" si="7"/>
        <v>3201.06</v>
      </c>
    </row>
    <row r="25" spans="1:23" s="4" customFormat="1" ht="38.25" customHeight="1">
      <c r="A25" s="34"/>
      <c r="B25" s="37" t="s">
        <v>31</v>
      </c>
      <c r="C25" s="5">
        <f>'July 2023'!H25</f>
        <v>3948.6259999999993</v>
      </c>
      <c r="D25" s="5">
        <f t="shared" ref="D25:U25" si="8">D24+D19+D15+D11</f>
        <v>1.76</v>
      </c>
      <c r="E25" s="5">
        <f t="shared" si="8"/>
        <v>10.68</v>
      </c>
      <c r="F25" s="5">
        <f t="shared" si="8"/>
        <v>2.2999999999999998</v>
      </c>
      <c r="G25" s="5">
        <f t="shared" si="8"/>
        <v>7.45</v>
      </c>
      <c r="H25" s="5">
        <f t="shared" si="8"/>
        <v>3948.0859999999993</v>
      </c>
      <c r="I25" s="5">
        <f>'July 2023'!N25</f>
        <v>9096.4830000000002</v>
      </c>
      <c r="J25" s="5">
        <f t="shared" si="8"/>
        <v>62.714999999999996</v>
      </c>
      <c r="K25" s="5">
        <f t="shared" si="8"/>
        <v>222.37800000000001</v>
      </c>
      <c r="L25" s="5">
        <f t="shared" si="8"/>
        <v>0</v>
      </c>
      <c r="M25" s="5">
        <f t="shared" si="8"/>
        <v>0.47</v>
      </c>
      <c r="N25" s="5">
        <f t="shared" si="8"/>
        <v>9159.1980000000003</v>
      </c>
      <c r="O25" s="5">
        <f>'July 2023'!T25</f>
        <v>499.80800000000005</v>
      </c>
      <c r="P25" s="5">
        <f t="shared" si="8"/>
        <v>0</v>
      </c>
      <c r="Q25" s="5">
        <f t="shared" si="8"/>
        <v>1.3</v>
      </c>
      <c r="R25" s="5">
        <f t="shared" si="8"/>
        <v>33.800000000000004</v>
      </c>
      <c r="S25" s="5">
        <f t="shared" si="8"/>
        <v>81.3</v>
      </c>
      <c r="T25" s="5">
        <f t="shared" si="8"/>
        <v>466.00800000000004</v>
      </c>
      <c r="U25" s="5">
        <f t="shared" si="8"/>
        <v>13573.292000000001</v>
      </c>
    </row>
    <row r="26" spans="1:23" ht="38.25" customHeight="1">
      <c r="A26" s="35">
        <v>15</v>
      </c>
      <c r="B26" s="38" t="s">
        <v>32</v>
      </c>
      <c r="C26" s="3">
        <f>'July 2023'!H26</f>
        <v>1645.95</v>
      </c>
      <c r="D26" s="3">
        <v>8.3800000000000008</v>
      </c>
      <c r="E26" s="3">
        <f>'July 2023'!E26+'Aug 2023'!D26</f>
        <v>26.04</v>
      </c>
      <c r="F26" s="3">
        <v>0</v>
      </c>
      <c r="G26" s="3">
        <f>'July 2023'!G26+'Aug 2023'!F26</f>
        <v>0</v>
      </c>
      <c r="H26" s="3">
        <f t="shared" si="0"/>
        <v>1654.3300000000002</v>
      </c>
      <c r="I26" s="3">
        <f>'July 2023'!N26</f>
        <v>122.49000000000001</v>
      </c>
      <c r="J26" s="3">
        <v>0.21</v>
      </c>
      <c r="K26" s="3">
        <f>'July 2023'!K26+'Aug 2023'!J26</f>
        <v>1.1500000000000001</v>
      </c>
      <c r="L26" s="3">
        <v>0</v>
      </c>
      <c r="M26" s="3">
        <f>'July 2023'!M26+'Aug 2023'!L26</f>
        <v>0</v>
      </c>
      <c r="N26" s="3">
        <f t="shared" si="1"/>
        <v>122.7</v>
      </c>
      <c r="O26" s="3">
        <f>'July 2023'!T26</f>
        <v>16.489999999999998</v>
      </c>
      <c r="P26" s="3">
        <v>0</v>
      </c>
      <c r="Q26" s="3">
        <f>'July 2023'!Q26+'Aug 2023'!P26</f>
        <v>0.12</v>
      </c>
      <c r="R26" s="3">
        <v>0</v>
      </c>
      <c r="S26" s="3">
        <f>'July 2023'!S26+'Aug 2023'!R26</f>
        <v>0</v>
      </c>
      <c r="T26" s="3">
        <f t="shared" si="2"/>
        <v>16.489999999999998</v>
      </c>
      <c r="U26" s="3">
        <f t="shared" si="3"/>
        <v>1793.5200000000002</v>
      </c>
    </row>
    <row r="27" spans="1:23" s="4" customFormat="1" ht="38.25" customHeight="1">
      <c r="A27" s="35">
        <v>16</v>
      </c>
      <c r="B27" s="38" t="s">
        <v>33</v>
      </c>
      <c r="C27" s="3">
        <f>'July 2023'!H27</f>
        <v>5718.0250000000042</v>
      </c>
      <c r="D27" s="3">
        <v>5.86</v>
      </c>
      <c r="E27" s="3">
        <f>'July 2023'!E27+'Aug 2023'!D27</f>
        <v>38.53</v>
      </c>
      <c r="F27" s="3">
        <v>0</v>
      </c>
      <c r="G27" s="3">
        <f>'July 2023'!G27+'Aug 2023'!F27</f>
        <v>0.02</v>
      </c>
      <c r="H27" s="3">
        <f t="shared" si="0"/>
        <v>5723.8850000000039</v>
      </c>
      <c r="I27" s="3">
        <f>'July 2023'!N27</f>
        <v>641.1579999999999</v>
      </c>
      <c r="J27" s="3">
        <v>2.63</v>
      </c>
      <c r="K27" s="3">
        <f>'July 2023'!K27+'Aug 2023'!J27</f>
        <v>9.629999999999999</v>
      </c>
      <c r="L27" s="3">
        <v>0</v>
      </c>
      <c r="M27" s="3">
        <f>'July 2023'!M27+'Aug 2023'!L27</f>
        <v>0.02</v>
      </c>
      <c r="N27" s="3">
        <f t="shared" si="1"/>
        <v>643.7879999999999</v>
      </c>
      <c r="O27" s="3">
        <f>'July 2023'!T27</f>
        <v>33.85</v>
      </c>
      <c r="P27" s="3">
        <v>0</v>
      </c>
      <c r="Q27" s="3">
        <f>'July 2023'!Q27+'Aug 2023'!P27</f>
        <v>0.05</v>
      </c>
      <c r="R27" s="3">
        <v>0</v>
      </c>
      <c r="S27" s="3">
        <f>'July 2023'!S27+'Aug 2023'!R27</f>
        <v>0</v>
      </c>
      <c r="T27" s="3">
        <f t="shared" si="2"/>
        <v>33.85</v>
      </c>
      <c r="U27" s="3">
        <f t="shared" si="3"/>
        <v>6401.5230000000038</v>
      </c>
    </row>
    <row r="28" spans="1:23" s="4" customFormat="1" ht="38.25" customHeight="1">
      <c r="A28" s="34"/>
      <c r="B28" s="37" t="s">
        <v>34</v>
      </c>
      <c r="C28" s="5">
        <f>'July 2023'!H28</f>
        <v>7363.975000000004</v>
      </c>
      <c r="D28" s="5">
        <f t="shared" ref="D28:U28" si="9">SUM(D26:D27)</f>
        <v>14.240000000000002</v>
      </c>
      <c r="E28" s="5">
        <f t="shared" si="9"/>
        <v>64.569999999999993</v>
      </c>
      <c r="F28" s="5">
        <f t="shared" si="9"/>
        <v>0</v>
      </c>
      <c r="G28" s="5">
        <f t="shared" si="9"/>
        <v>0.02</v>
      </c>
      <c r="H28" s="5">
        <f t="shared" si="9"/>
        <v>7378.2150000000038</v>
      </c>
      <c r="I28" s="5">
        <f>'July 2023'!N28</f>
        <v>763.64799999999991</v>
      </c>
      <c r="J28" s="5">
        <f t="shared" si="9"/>
        <v>2.84</v>
      </c>
      <c r="K28" s="5">
        <f t="shared" si="9"/>
        <v>10.78</v>
      </c>
      <c r="L28" s="5">
        <f t="shared" si="9"/>
        <v>0</v>
      </c>
      <c r="M28" s="5">
        <f t="shared" si="9"/>
        <v>0.02</v>
      </c>
      <c r="N28" s="5">
        <f t="shared" si="9"/>
        <v>766.48799999999994</v>
      </c>
      <c r="O28" s="5">
        <f>'July 2023'!T28</f>
        <v>50.34</v>
      </c>
      <c r="P28" s="5">
        <f t="shared" si="9"/>
        <v>0</v>
      </c>
      <c r="Q28" s="5">
        <f t="shared" si="9"/>
        <v>0.16999999999999998</v>
      </c>
      <c r="R28" s="5">
        <f t="shared" si="9"/>
        <v>0</v>
      </c>
      <c r="S28" s="5">
        <f t="shared" si="9"/>
        <v>0</v>
      </c>
      <c r="T28" s="5">
        <f t="shared" si="9"/>
        <v>50.34</v>
      </c>
      <c r="U28" s="5">
        <f t="shared" si="9"/>
        <v>8195.0430000000033</v>
      </c>
    </row>
    <row r="29" spans="1:23" ht="38.25" customHeight="1">
      <c r="A29" s="35">
        <v>17</v>
      </c>
      <c r="B29" s="38" t="s">
        <v>35</v>
      </c>
      <c r="C29" s="3">
        <f>'July 2023'!H29</f>
        <v>5012.0980000000009</v>
      </c>
      <c r="D29" s="3">
        <v>2.61</v>
      </c>
      <c r="E29" s="3">
        <f>'July 2023'!E29+'Aug 2023'!D29</f>
        <v>133.67000000000002</v>
      </c>
      <c r="F29" s="3">
        <v>0</v>
      </c>
      <c r="G29" s="3">
        <f>'July 2023'!G29+'Aug 2023'!F29</f>
        <v>0</v>
      </c>
      <c r="H29" s="3">
        <f t="shared" si="0"/>
        <v>5014.7080000000005</v>
      </c>
      <c r="I29" s="3">
        <f>'July 2023'!N29</f>
        <v>122.79000000000002</v>
      </c>
      <c r="J29" s="3">
        <v>0.22</v>
      </c>
      <c r="K29" s="3">
        <f>'July 2023'!K29+'Aug 2023'!J29</f>
        <v>1.48</v>
      </c>
      <c r="L29" s="3">
        <v>0</v>
      </c>
      <c r="M29" s="3">
        <f>'July 2023'!M29+'Aug 2023'!L29</f>
        <v>0</v>
      </c>
      <c r="N29" s="3">
        <f t="shared" si="1"/>
        <v>123.01000000000002</v>
      </c>
      <c r="O29" s="3">
        <f>'July 2023'!T29</f>
        <v>34.52000000000001</v>
      </c>
      <c r="P29" s="3">
        <v>0</v>
      </c>
      <c r="Q29" s="3">
        <f>'July 2023'!Q29+'Aug 2023'!P29</f>
        <v>0</v>
      </c>
      <c r="R29" s="3">
        <v>0</v>
      </c>
      <c r="S29" s="3">
        <f>'July 2023'!S29+'Aug 2023'!R29</f>
        <v>0</v>
      </c>
      <c r="T29" s="3">
        <f t="shared" si="2"/>
        <v>34.52000000000001</v>
      </c>
      <c r="U29" s="3">
        <f t="shared" si="3"/>
        <v>5172.2380000000012</v>
      </c>
      <c r="W29" s="89"/>
    </row>
    <row r="30" spans="1:23" ht="54.75" customHeight="1">
      <c r="A30" s="35">
        <v>18</v>
      </c>
      <c r="B30" s="38" t="s">
        <v>36</v>
      </c>
      <c r="C30" s="3">
        <f>'July 2023'!H30</f>
        <v>3725.2299999999991</v>
      </c>
      <c r="D30" s="3">
        <v>13.57</v>
      </c>
      <c r="E30" s="3">
        <f>'July 2023'!E30+'Aug 2023'!D30</f>
        <v>36.650000000000006</v>
      </c>
      <c r="F30" s="3">
        <v>0</v>
      </c>
      <c r="G30" s="3">
        <f>'July 2023'!G30+'Aug 2023'!F30</f>
        <v>0</v>
      </c>
      <c r="H30" s="3">
        <f t="shared" si="0"/>
        <v>3738.7999999999993</v>
      </c>
      <c r="I30" s="3">
        <f>'July 2023'!N30</f>
        <v>232.36699999999999</v>
      </c>
      <c r="J30" s="3">
        <v>0</v>
      </c>
      <c r="K30" s="3">
        <f>'July 2023'!K30+'Aug 2023'!J30</f>
        <v>33.78</v>
      </c>
      <c r="L30" s="3">
        <v>0</v>
      </c>
      <c r="M30" s="3">
        <f>'July 2023'!M30+'Aug 2023'!L30</f>
        <v>0</v>
      </c>
      <c r="N30" s="3">
        <f t="shared" si="1"/>
        <v>232.36699999999999</v>
      </c>
      <c r="O30" s="3">
        <f>'July 2023'!T30</f>
        <v>23.25</v>
      </c>
      <c r="P30" s="3">
        <v>0</v>
      </c>
      <c r="Q30" s="3">
        <f>'July 2023'!Q30+'Aug 2023'!P30</f>
        <v>0</v>
      </c>
      <c r="R30" s="3">
        <v>0</v>
      </c>
      <c r="S30" s="3">
        <f>'July 2023'!S30+'Aug 2023'!R30</f>
        <v>0</v>
      </c>
      <c r="T30" s="3">
        <f t="shared" si="2"/>
        <v>23.25</v>
      </c>
      <c r="U30" s="3">
        <f t="shared" si="3"/>
        <v>3994.4169999999995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'July 2023'!H31</f>
        <v>4709.9790000000012</v>
      </c>
      <c r="D31" s="3">
        <v>0.92500000000000004</v>
      </c>
      <c r="E31" s="3">
        <f>'July 2023'!E31+'Aug 2023'!D31</f>
        <v>8.411999999999999</v>
      </c>
      <c r="F31" s="3">
        <v>0</v>
      </c>
      <c r="G31" s="3">
        <f>'July 2023'!G31+'Aug 2023'!F31</f>
        <v>0</v>
      </c>
      <c r="H31" s="3">
        <f t="shared" si="0"/>
        <v>4710.9040000000014</v>
      </c>
      <c r="I31" s="3">
        <f>'July 2023'!N31</f>
        <v>107.89500000000002</v>
      </c>
      <c r="J31" s="3">
        <v>0</v>
      </c>
      <c r="K31" s="3">
        <f>'July 2023'!K31+'Aug 2023'!J31</f>
        <v>0.20499999999999999</v>
      </c>
      <c r="L31" s="3">
        <v>0</v>
      </c>
      <c r="M31" s="3">
        <f>'July 2023'!M31+'Aug 2023'!L31</f>
        <v>0</v>
      </c>
      <c r="N31" s="3">
        <f t="shared" si="1"/>
        <v>107.89500000000002</v>
      </c>
      <c r="O31" s="3">
        <f>'July 2023'!T31</f>
        <v>14.850000000000001</v>
      </c>
      <c r="P31" s="3">
        <v>0</v>
      </c>
      <c r="Q31" s="3">
        <f>'July 2023'!Q31+'Aug 2023'!P31</f>
        <v>0</v>
      </c>
      <c r="R31" s="3">
        <v>0</v>
      </c>
      <c r="S31" s="3">
        <f>'July 2023'!S31+'Aug 2023'!R31</f>
        <v>0</v>
      </c>
      <c r="T31" s="3">
        <f t="shared" si="2"/>
        <v>14.850000000000001</v>
      </c>
      <c r="U31" s="3">
        <f t="shared" si="3"/>
        <v>4833.6490000000022</v>
      </c>
      <c r="W31" s="89"/>
    </row>
    <row r="32" spans="1:23" ht="70.5" customHeight="1">
      <c r="A32" s="35">
        <v>20</v>
      </c>
      <c r="B32" s="38" t="s">
        <v>38</v>
      </c>
      <c r="C32" s="3">
        <f>'July 2023'!H32</f>
        <v>2374.8957999999989</v>
      </c>
      <c r="D32" s="3">
        <v>3.86</v>
      </c>
      <c r="E32" s="3">
        <f>'July 2023'!E32+'Aug 2023'!D32</f>
        <v>14.459999999999999</v>
      </c>
      <c r="F32" s="3">
        <v>0</v>
      </c>
      <c r="G32" s="3">
        <f>'July 2023'!G32+'Aug 2023'!F32</f>
        <v>9.73</v>
      </c>
      <c r="H32" s="3">
        <f t="shared" si="0"/>
        <v>2378.755799999999</v>
      </c>
      <c r="I32" s="3">
        <f>'July 2023'!N32</f>
        <v>99.794000000000025</v>
      </c>
      <c r="J32" s="3">
        <v>7.89</v>
      </c>
      <c r="K32" s="3">
        <f>'July 2023'!K32+'Aug 2023'!J32</f>
        <v>14.507999999999999</v>
      </c>
      <c r="L32" s="3">
        <v>0</v>
      </c>
      <c r="M32" s="3">
        <f>'July 2023'!M32+'Aug 2023'!L32</f>
        <v>0</v>
      </c>
      <c r="N32" s="3">
        <f t="shared" si="1"/>
        <v>107.68400000000003</v>
      </c>
      <c r="O32" s="3">
        <f>'July 2023'!T32</f>
        <v>67.551999999999992</v>
      </c>
      <c r="P32" s="3">
        <v>0</v>
      </c>
      <c r="Q32" s="3">
        <f>'July 2023'!Q32+'Aug 2023'!P32</f>
        <v>0</v>
      </c>
      <c r="R32" s="3">
        <v>0</v>
      </c>
      <c r="S32" s="3">
        <f>'July 2023'!S32+'Aug 2023'!R32</f>
        <v>0</v>
      </c>
      <c r="T32" s="3">
        <f t="shared" si="2"/>
        <v>67.551999999999992</v>
      </c>
      <c r="U32" s="3">
        <f t="shared" si="3"/>
        <v>2553.9917999999993</v>
      </c>
      <c r="W32" s="89"/>
    </row>
    <row r="33" spans="1:23" s="4" customFormat="1" ht="38.25" customHeight="1">
      <c r="A33" s="34"/>
      <c r="B33" s="37" t="s">
        <v>39</v>
      </c>
      <c r="C33" s="5">
        <f>'July 2023'!H33</f>
        <v>15822.202799999999</v>
      </c>
      <c r="D33" s="5">
        <f t="shared" ref="D33:U33" si="10">SUM(D29:D32)</f>
        <v>20.965</v>
      </c>
      <c r="E33" s="5">
        <f t="shared" si="10"/>
        <v>193.19200000000004</v>
      </c>
      <c r="F33" s="5">
        <f t="shared" si="10"/>
        <v>0</v>
      </c>
      <c r="G33" s="5">
        <f t="shared" si="10"/>
        <v>9.73</v>
      </c>
      <c r="H33" s="5">
        <f t="shared" si="10"/>
        <v>15843.167799999999</v>
      </c>
      <c r="I33" s="5">
        <f>'July 2023'!N33</f>
        <v>562.84600000000012</v>
      </c>
      <c r="J33" s="5">
        <f t="shared" si="10"/>
        <v>8.11</v>
      </c>
      <c r="K33" s="5">
        <f t="shared" si="10"/>
        <v>49.972999999999999</v>
      </c>
      <c r="L33" s="5">
        <f t="shared" si="10"/>
        <v>0</v>
      </c>
      <c r="M33" s="5">
        <f t="shared" si="10"/>
        <v>0</v>
      </c>
      <c r="N33" s="5">
        <f t="shared" si="10"/>
        <v>570.95600000000013</v>
      </c>
      <c r="O33" s="5">
        <f>'July 2023'!T33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16554.295800000004</v>
      </c>
    </row>
    <row r="34" spans="1:23" ht="38.25" customHeight="1">
      <c r="A34" s="35">
        <v>21</v>
      </c>
      <c r="B34" s="38" t="s">
        <v>40</v>
      </c>
      <c r="C34" s="3">
        <f>'July 2023'!H34</f>
        <v>5241.8799999999992</v>
      </c>
      <c r="D34" s="3">
        <f>3.66+159.25</f>
        <v>162.91</v>
      </c>
      <c r="E34" s="3">
        <f>'July 2023'!E34+'Aug 2023'!D34</f>
        <v>820.75999999999988</v>
      </c>
      <c r="F34" s="3">
        <v>0</v>
      </c>
      <c r="G34" s="3">
        <f>'July 2023'!G34+'Aug 2023'!F34</f>
        <v>2.72</v>
      </c>
      <c r="H34" s="3">
        <f t="shared" si="0"/>
        <v>5404.7899999999991</v>
      </c>
      <c r="I34" s="3">
        <f>'July 2023'!N34</f>
        <v>116.16999999999999</v>
      </c>
      <c r="J34" s="3">
        <v>0</v>
      </c>
      <c r="K34" s="3">
        <f>'July 2023'!K34+'Aug 2023'!J34</f>
        <v>8.09</v>
      </c>
      <c r="L34" s="3">
        <v>0</v>
      </c>
      <c r="M34" s="3">
        <f>'July 2023'!M34+'Aug 2023'!L34</f>
        <v>0</v>
      </c>
      <c r="N34" s="3">
        <f t="shared" si="1"/>
        <v>116.16999999999999</v>
      </c>
      <c r="O34" s="3">
        <f>'July 2023'!T34</f>
        <v>72.7</v>
      </c>
      <c r="P34" s="3">
        <v>0</v>
      </c>
      <c r="Q34" s="3">
        <f>'July 2023'!Q34+'Aug 2023'!P34</f>
        <v>0</v>
      </c>
      <c r="R34" s="3">
        <v>0</v>
      </c>
      <c r="S34" s="3">
        <f>'July 2023'!S34+'Aug 2023'!R34</f>
        <v>0</v>
      </c>
      <c r="T34" s="3">
        <f t="shared" si="2"/>
        <v>72.7</v>
      </c>
      <c r="U34" s="3">
        <f t="shared" si="3"/>
        <v>5593.6599999999989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'July 2023'!H35</f>
        <v>6803.529999999997</v>
      </c>
      <c r="D35" s="3">
        <f>20.39+9</f>
        <v>29.39</v>
      </c>
      <c r="E35" s="3">
        <f>'July 2023'!E35+'Aug 2023'!D35</f>
        <v>149.30000000000001</v>
      </c>
      <c r="F35" s="3">
        <v>0</v>
      </c>
      <c r="G35" s="3">
        <f>'July 2023'!G35+'Aug 2023'!F35</f>
        <v>0</v>
      </c>
      <c r="H35" s="3">
        <f t="shared" si="0"/>
        <v>6832.9199999999973</v>
      </c>
      <c r="I35" s="3">
        <f>'July 2023'!N35</f>
        <v>34.17</v>
      </c>
      <c r="J35" s="3">
        <v>0</v>
      </c>
      <c r="K35" s="3">
        <f>'July 2023'!K35+'Aug 2023'!J35</f>
        <v>0.04</v>
      </c>
      <c r="L35" s="3">
        <v>0</v>
      </c>
      <c r="M35" s="3">
        <f>'July 2023'!M35+'Aug 2023'!L35</f>
        <v>0</v>
      </c>
      <c r="N35" s="3">
        <f t="shared" si="1"/>
        <v>34.17</v>
      </c>
      <c r="O35" s="3">
        <f>'July 2023'!T35</f>
        <v>90.800000000000011</v>
      </c>
      <c r="P35" s="3">
        <v>0</v>
      </c>
      <c r="Q35" s="3">
        <f>'July 2023'!Q35+'Aug 2023'!P35</f>
        <v>0</v>
      </c>
      <c r="R35" s="3">
        <v>0</v>
      </c>
      <c r="S35" s="3">
        <f>'July 2023'!S35+'Aug 2023'!R35</f>
        <v>0</v>
      </c>
      <c r="T35" s="3">
        <f t="shared" si="2"/>
        <v>90.800000000000011</v>
      </c>
      <c r="U35" s="3">
        <f t="shared" si="3"/>
        <v>6957.8899999999976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'July 2023'!H36</f>
        <v>5679.41</v>
      </c>
      <c r="D36" s="3">
        <f>44.61+489.65</f>
        <v>534.26</v>
      </c>
      <c r="E36" s="3">
        <f>'July 2023'!E36+'Aug 2023'!D36</f>
        <v>2516.0100000000002</v>
      </c>
      <c r="F36" s="3">
        <v>0</v>
      </c>
      <c r="G36" s="3">
        <f>'July 2023'!G36+'Aug 2023'!F36</f>
        <v>0</v>
      </c>
      <c r="H36" s="3">
        <f t="shared" si="0"/>
        <v>6213.67</v>
      </c>
      <c r="I36" s="3">
        <f>'July 2023'!N36</f>
        <v>30.250000000000039</v>
      </c>
      <c r="J36" s="3">
        <v>0</v>
      </c>
      <c r="K36" s="3">
        <f>'July 2023'!K36+'Aug 2023'!J36</f>
        <v>0</v>
      </c>
      <c r="L36" s="3">
        <v>0</v>
      </c>
      <c r="M36" s="3">
        <f>'July 2023'!M36+'Aug 2023'!L36</f>
        <v>0</v>
      </c>
      <c r="N36" s="3">
        <f t="shared" si="1"/>
        <v>30.250000000000039</v>
      </c>
      <c r="O36" s="3">
        <f>'July 2023'!T36</f>
        <v>36.379999999999995</v>
      </c>
      <c r="P36" s="3">
        <v>0</v>
      </c>
      <c r="Q36" s="3">
        <f>'July 2023'!Q36+'Aug 2023'!P36</f>
        <v>0</v>
      </c>
      <c r="R36" s="3">
        <v>0</v>
      </c>
      <c r="S36" s="3">
        <f>'July 2023'!S36+'Aug 2023'!R36</f>
        <v>0</v>
      </c>
      <c r="T36" s="3">
        <f t="shared" si="2"/>
        <v>36.379999999999995</v>
      </c>
      <c r="U36" s="3">
        <f t="shared" si="3"/>
        <v>6280.3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'July 2023'!H37</f>
        <v>5130.5299999999988</v>
      </c>
      <c r="D37" s="3">
        <f>0.46+32.6</f>
        <v>33.06</v>
      </c>
      <c r="E37" s="3">
        <f>'July 2023'!E37+'Aug 2023'!D37</f>
        <v>69.08</v>
      </c>
      <c r="F37" s="3">
        <v>0</v>
      </c>
      <c r="G37" s="3">
        <f>'July 2023'!G37+'Aug 2023'!F37</f>
        <v>0</v>
      </c>
      <c r="H37" s="3">
        <f t="shared" si="0"/>
        <v>5163.5899999999992</v>
      </c>
      <c r="I37" s="3">
        <f>'July 2023'!N37</f>
        <v>26.700000000000003</v>
      </c>
      <c r="J37" s="3">
        <v>0</v>
      </c>
      <c r="K37" s="3">
        <f>'July 2023'!K37+'Aug 2023'!J37</f>
        <v>0</v>
      </c>
      <c r="L37" s="3">
        <v>0</v>
      </c>
      <c r="M37" s="3">
        <f>'July 2023'!M37+'Aug 2023'!L37</f>
        <v>0</v>
      </c>
      <c r="N37" s="3">
        <f t="shared" si="1"/>
        <v>26.700000000000003</v>
      </c>
      <c r="O37" s="3">
        <f>'July 2023'!T37</f>
        <v>3.0599999999999996</v>
      </c>
      <c r="P37" s="3">
        <v>0</v>
      </c>
      <c r="Q37" s="3">
        <f>'July 2023'!Q37+'Aug 2023'!P37</f>
        <v>0</v>
      </c>
      <c r="R37" s="3">
        <v>0</v>
      </c>
      <c r="S37" s="3">
        <f>'July 2023'!S37+'Aug 2023'!R37</f>
        <v>0</v>
      </c>
      <c r="T37" s="3">
        <f t="shared" si="2"/>
        <v>3.0599999999999996</v>
      </c>
      <c r="U37" s="3">
        <f t="shared" si="3"/>
        <v>5193.3499999999995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'July 2023'!H38</f>
        <v>22855.349999999995</v>
      </c>
      <c r="D38" s="5">
        <f t="shared" ref="D38:U38" si="11">SUM(D34:D37)</f>
        <v>759.61999999999989</v>
      </c>
      <c r="E38" s="5">
        <f t="shared" si="11"/>
        <v>3555.15</v>
      </c>
      <c r="F38" s="5">
        <f t="shared" si="11"/>
        <v>0</v>
      </c>
      <c r="G38" s="5">
        <f t="shared" si="11"/>
        <v>2.72</v>
      </c>
      <c r="H38" s="5">
        <f t="shared" si="11"/>
        <v>23614.969999999998</v>
      </c>
      <c r="I38" s="5">
        <f>'July 2023'!N38</f>
        <v>207.29000000000002</v>
      </c>
      <c r="J38" s="5">
        <f t="shared" si="11"/>
        <v>0</v>
      </c>
      <c r="K38" s="5">
        <f t="shared" si="11"/>
        <v>8.129999999999999</v>
      </c>
      <c r="L38" s="5">
        <f t="shared" si="11"/>
        <v>0</v>
      </c>
      <c r="M38" s="5">
        <f t="shared" si="11"/>
        <v>0</v>
      </c>
      <c r="N38" s="5">
        <f t="shared" si="11"/>
        <v>207.29000000000002</v>
      </c>
      <c r="O38" s="5">
        <f>'July 2023'!T38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24025.199999999993</v>
      </c>
    </row>
    <row r="39" spans="1:23" s="4" customFormat="1" ht="38.25" customHeight="1">
      <c r="A39" s="34"/>
      <c r="B39" s="37" t="s">
        <v>45</v>
      </c>
      <c r="C39" s="5">
        <f>'July 2023'!H39</f>
        <v>46041.527799999996</v>
      </c>
      <c r="D39" s="5">
        <f t="shared" ref="D39:U39" si="12">D38+D33+D28</f>
        <v>794.82499999999993</v>
      </c>
      <c r="E39" s="5">
        <f t="shared" si="12"/>
        <v>3812.9120000000003</v>
      </c>
      <c r="F39" s="5">
        <f t="shared" si="12"/>
        <v>0</v>
      </c>
      <c r="G39" s="5">
        <f t="shared" si="12"/>
        <v>12.47</v>
      </c>
      <c r="H39" s="5">
        <f t="shared" si="12"/>
        <v>46836.352800000001</v>
      </c>
      <c r="I39" s="5">
        <f>'July 2023'!N39</f>
        <v>1533.7840000000001</v>
      </c>
      <c r="J39" s="5">
        <f t="shared" si="12"/>
        <v>10.95</v>
      </c>
      <c r="K39" s="5">
        <f t="shared" si="12"/>
        <v>68.882999999999996</v>
      </c>
      <c r="L39" s="5">
        <f t="shared" si="12"/>
        <v>0</v>
      </c>
      <c r="M39" s="5">
        <f t="shared" si="12"/>
        <v>0.02</v>
      </c>
      <c r="N39" s="5">
        <f t="shared" si="12"/>
        <v>1544.7339999999999</v>
      </c>
      <c r="O39" s="5">
        <f>'July 2023'!T39</f>
        <v>393.452</v>
      </c>
      <c r="P39" s="5">
        <f t="shared" si="12"/>
        <v>0</v>
      </c>
      <c r="Q39" s="5">
        <f t="shared" si="12"/>
        <v>0.16999999999999998</v>
      </c>
      <c r="R39" s="5">
        <f t="shared" si="12"/>
        <v>0</v>
      </c>
      <c r="S39" s="5">
        <f t="shared" si="12"/>
        <v>0</v>
      </c>
      <c r="T39" s="5">
        <f t="shared" si="12"/>
        <v>393.452</v>
      </c>
      <c r="U39" s="5">
        <f t="shared" si="12"/>
        <v>48774.538800000002</v>
      </c>
    </row>
    <row r="40" spans="1:23" ht="38.25" customHeight="1">
      <c r="A40" s="35">
        <v>25</v>
      </c>
      <c r="B40" s="38" t="s">
        <v>46</v>
      </c>
      <c r="C40" s="3">
        <f>'July 2023'!H40</f>
        <v>12834.553999999996</v>
      </c>
      <c r="D40" s="3">
        <f>13.91+232.46</f>
        <v>246.37</v>
      </c>
      <c r="E40" s="3">
        <f>'July 2023'!E40+'Aug 2023'!D40</f>
        <v>1223.3000000000002</v>
      </c>
      <c r="F40" s="3">
        <v>0</v>
      </c>
      <c r="G40" s="3">
        <f>'July 2023'!G40+'Aug 2023'!F40</f>
        <v>0</v>
      </c>
      <c r="H40" s="3">
        <f t="shared" si="0"/>
        <v>13080.923999999997</v>
      </c>
      <c r="I40" s="3">
        <f>'July 2023'!N40</f>
        <v>198.73</v>
      </c>
      <c r="J40" s="3">
        <v>0</v>
      </c>
      <c r="K40" s="3">
        <f>'July 2023'!K40+'Aug 2023'!J40</f>
        <v>0</v>
      </c>
      <c r="L40" s="3">
        <v>0</v>
      </c>
      <c r="M40" s="3">
        <f>'July 2023'!M40+'Aug 2023'!L40</f>
        <v>0</v>
      </c>
      <c r="N40" s="3">
        <f t="shared" si="1"/>
        <v>198.73</v>
      </c>
      <c r="O40" s="3">
        <f>'July 2023'!T40</f>
        <v>106.93</v>
      </c>
      <c r="P40" s="3">
        <v>0</v>
      </c>
      <c r="Q40" s="3">
        <f>'July 2023'!Q40+'Aug 2023'!P40</f>
        <v>0</v>
      </c>
      <c r="R40" s="3">
        <v>0</v>
      </c>
      <c r="S40" s="3">
        <f>'July 2023'!S40+'Aug 2023'!R40</f>
        <v>0</v>
      </c>
      <c r="T40" s="3">
        <f t="shared" si="2"/>
        <v>106.93</v>
      </c>
      <c r="U40" s="3">
        <f t="shared" si="3"/>
        <v>13386.583999999997</v>
      </c>
    </row>
    <row r="41" spans="1:23" ht="38.25" customHeight="1">
      <c r="A41" s="35">
        <v>26</v>
      </c>
      <c r="B41" s="38" t="s">
        <v>47</v>
      </c>
      <c r="C41" s="3">
        <f>'July 2023'!H41</f>
        <v>8734.7589999999946</v>
      </c>
      <c r="D41" s="3">
        <f>10.01+43.81</f>
        <v>53.82</v>
      </c>
      <c r="E41" s="3">
        <f>'July 2023'!E41+'Aug 2023'!D41</f>
        <v>341.18</v>
      </c>
      <c r="F41" s="3">
        <v>0</v>
      </c>
      <c r="G41" s="3">
        <f>'July 2023'!G41+'Aug 2023'!F41</f>
        <v>0</v>
      </c>
      <c r="H41" s="3">
        <f t="shared" si="0"/>
        <v>8788.5789999999943</v>
      </c>
      <c r="I41" s="3">
        <f>'July 2023'!N41</f>
        <v>8.67</v>
      </c>
      <c r="J41" s="3">
        <v>0</v>
      </c>
      <c r="K41" s="3">
        <f>'July 2023'!K41+'Aug 2023'!J41</f>
        <v>0</v>
      </c>
      <c r="L41" s="3">
        <v>0</v>
      </c>
      <c r="M41" s="3">
        <f>'July 2023'!M41+'Aug 2023'!L41</f>
        <v>0</v>
      </c>
      <c r="N41" s="3">
        <f t="shared" si="1"/>
        <v>8.67</v>
      </c>
      <c r="O41" s="3">
        <f>'July 2023'!T41</f>
        <v>141.29000000000002</v>
      </c>
      <c r="P41" s="3">
        <v>0</v>
      </c>
      <c r="Q41" s="3">
        <f>'July 2023'!Q41+'Aug 2023'!P41</f>
        <v>0</v>
      </c>
      <c r="R41" s="3">
        <v>0</v>
      </c>
      <c r="S41" s="3">
        <f>'July 2023'!S41+'Aug 2023'!R41</f>
        <v>0</v>
      </c>
      <c r="T41" s="3">
        <f t="shared" si="2"/>
        <v>141.29000000000002</v>
      </c>
      <c r="U41" s="3">
        <f t="shared" si="3"/>
        <v>8938.5389999999952</v>
      </c>
    </row>
    <row r="42" spans="1:23" s="4" customFormat="1" ht="38.25" customHeight="1">
      <c r="A42" s="35">
        <v>27</v>
      </c>
      <c r="B42" s="38" t="s">
        <v>48</v>
      </c>
      <c r="C42" s="3">
        <f>'July 2023'!H42</f>
        <v>15092.252999999995</v>
      </c>
      <c r="D42" s="3">
        <f>14.51+266.11</f>
        <v>280.62</v>
      </c>
      <c r="E42" s="3">
        <f>'July 2023'!E42+'Aug 2023'!D42</f>
        <v>1419.2000000000003</v>
      </c>
      <c r="F42" s="3">
        <v>0</v>
      </c>
      <c r="G42" s="3">
        <f>'July 2023'!G42+'Aug 2023'!F42</f>
        <v>0</v>
      </c>
      <c r="H42" s="3">
        <f t="shared" si="0"/>
        <v>15372.872999999996</v>
      </c>
      <c r="I42" s="3">
        <f>'July 2023'!N42</f>
        <v>15.62</v>
      </c>
      <c r="J42" s="3">
        <v>0</v>
      </c>
      <c r="K42" s="3">
        <f>'July 2023'!K42+'Aug 2023'!J42</f>
        <v>0</v>
      </c>
      <c r="L42" s="3">
        <v>0</v>
      </c>
      <c r="M42" s="3">
        <f>'July 2023'!M42+'Aug 2023'!L42</f>
        <v>0</v>
      </c>
      <c r="N42" s="3">
        <f t="shared" si="1"/>
        <v>15.62</v>
      </c>
      <c r="O42" s="3">
        <f>'July 2023'!T42</f>
        <v>205.35</v>
      </c>
      <c r="P42" s="3">
        <v>0</v>
      </c>
      <c r="Q42" s="3">
        <f>'July 2023'!Q42+'Aug 2023'!P42</f>
        <v>0</v>
      </c>
      <c r="R42" s="3">
        <v>0</v>
      </c>
      <c r="S42" s="3">
        <f>'July 2023'!S42+'Aug 2023'!R42</f>
        <v>0</v>
      </c>
      <c r="T42" s="3">
        <f t="shared" si="2"/>
        <v>205.35</v>
      </c>
      <c r="U42" s="3">
        <f t="shared" si="3"/>
        <v>15593.842999999997</v>
      </c>
    </row>
    <row r="43" spans="1:23" ht="38.25" customHeight="1">
      <c r="A43" s="35">
        <v>28</v>
      </c>
      <c r="B43" s="38" t="s">
        <v>49</v>
      </c>
      <c r="C43" s="3">
        <f>'July 2023'!H43</f>
        <v>4477.1500000000015</v>
      </c>
      <c r="D43" s="3">
        <f>5.1+39.35</f>
        <v>44.45</v>
      </c>
      <c r="E43" s="3">
        <f>'July 2023'!E43+'Aug 2023'!D43</f>
        <v>319.64</v>
      </c>
      <c r="F43" s="3">
        <v>0</v>
      </c>
      <c r="G43" s="3">
        <f>'July 2023'!G43+'Aug 2023'!F43</f>
        <v>0</v>
      </c>
      <c r="H43" s="3">
        <f t="shared" si="0"/>
        <v>4521.6000000000013</v>
      </c>
      <c r="I43" s="3">
        <f>'July 2023'!N43</f>
        <v>3.5</v>
      </c>
      <c r="J43" s="3">
        <v>0</v>
      </c>
      <c r="K43" s="3">
        <f>'July 2023'!K43+'Aug 2023'!J43</f>
        <v>0</v>
      </c>
      <c r="L43" s="3">
        <v>0</v>
      </c>
      <c r="M43" s="3">
        <f>'July 2023'!M43+'Aug 2023'!L43</f>
        <v>0</v>
      </c>
      <c r="N43" s="3">
        <f t="shared" si="1"/>
        <v>3.5</v>
      </c>
      <c r="O43" s="3">
        <f>'July 2023'!T43</f>
        <v>29.8</v>
      </c>
      <c r="P43" s="3">
        <v>0</v>
      </c>
      <c r="Q43" s="3">
        <f>'July 2023'!Q43+'Aug 2023'!P43</f>
        <v>0</v>
      </c>
      <c r="R43" s="3">
        <v>0</v>
      </c>
      <c r="S43" s="3">
        <f>'July 2023'!S43+'Aug 2023'!R43</f>
        <v>0</v>
      </c>
      <c r="T43" s="3">
        <f t="shared" si="2"/>
        <v>29.8</v>
      </c>
      <c r="U43" s="3">
        <f t="shared" si="3"/>
        <v>4554.9000000000015</v>
      </c>
    </row>
    <row r="44" spans="1:23" s="4" customFormat="1" ht="38.25" customHeight="1">
      <c r="A44" s="34"/>
      <c r="B44" s="37" t="s">
        <v>50</v>
      </c>
      <c r="C44" s="5">
        <f>'July 2023'!H44</f>
        <v>41138.715999999986</v>
      </c>
      <c r="D44" s="5">
        <f t="shared" ref="D44:U44" si="13">SUM(D40:D43)</f>
        <v>625.26</v>
      </c>
      <c r="E44" s="5">
        <f t="shared" si="13"/>
        <v>3303.32</v>
      </c>
      <c r="F44" s="5">
        <f t="shared" si="13"/>
        <v>0</v>
      </c>
      <c r="G44" s="5">
        <f t="shared" si="13"/>
        <v>0</v>
      </c>
      <c r="H44" s="5">
        <f t="shared" si="13"/>
        <v>41763.975999999988</v>
      </c>
      <c r="I44" s="5">
        <f>'July 2023'!N44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'July 2023'!T44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42473.865999999987</v>
      </c>
    </row>
    <row r="45" spans="1:23" ht="38.25" customHeight="1">
      <c r="A45" s="35">
        <v>29</v>
      </c>
      <c r="B45" s="38" t="s">
        <v>51</v>
      </c>
      <c r="C45" s="3">
        <f>'July 2023'!H45</f>
        <v>8458.6820999999982</v>
      </c>
      <c r="D45" s="3">
        <v>9.25</v>
      </c>
      <c r="E45" s="3">
        <f>'July 2023'!E45+'Aug 2023'!D45</f>
        <v>104.12</v>
      </c>
      <c r="F45" s="3">
        <v>0</v>
      </c>
      <c r="G45" s="3">
        <f>'July 2023'!G45+'Aug 2023'!F45</f>
        <v>0</v>
      </c>
      <c r="H45" s="3">
        <f t="shared" si="0"/>
        <v>8467.9320999999982</v>
      </c>
      <c r="I45" s="3">
        <f>'July 2023'!N45</f>
        <v>261.14999999999992</v>
      </c>
      <c r="J45" s="3">
        <v>0</v>
      </c>
      <c r="K45" s="3">
        <f>'July 2023'!K45+'Aug 2023'!J45</f>
        <v>0.1</v>
      </c>
      <c r="L45" s="3">
        <v>0</v>
      </c>
      <c r="M45" s="3">
        <f>'July 2023'!M45+'Aug 2023'!L45</f>
        <v>0</v>
      </c>
      <c r="N45" s="3">
        <f t="shared" si="1"/>
        <v>261.14999999999992</v>
      </c>
      <c r="O45" s="3">
        <f>'July 2023'!T45</f>
        <v>84.45</v>
      </c>
      <c r="P45" s="3">
        <v>0</v>
      </c>
      <c r="Q45" s="3">
        <f>'July 2023'!Q45+'Aug 2023'!P45</f>
        <v>0.06</v>
      </c>
      <c r="R45" s="3">
        <v>0</v>
      </c>
      <c r="S45" s="3">
        <f>'July 2023'!S45+'Aug 2023'!R45</f>
        <v>0</v>
      </c>
      <c r="T45" s="3">
        <f t="shared" si="2"/>
        <v>84.45</v>
      </c>
      <c r="U45" s="3">
        <f t="shared" si="3"/>
        <v>8813.5320999999985</v>
      </c>
    </row>
    <row r="46" spans="1:23" ht="38.25" customHeight="1">
      <c r="A46" s="35">
        <v>30</v>
      </c>
      <c r="B46" s="38" t="s">
        <v>52</v>
      </c>
      <c r="C46" s="3">
        <f>'July 2023'!H46</f>
        <v>8070.8250000000016</v>
      </c>
      <c r="D46" s="3">
        <v>14.81</v>
      </c>
      <c r="E46" s="3">
        <f>'July 2023'!E46+'Aug 2023'!D46</f>
        <v>138.4</v>
      </c>
      <c r="F46" s="3">
        <v>0</v>
      </c>
      <c r="G46" s="3">
        <f>'July 2023'!G46+'Aug 2023'!F46</f>
        <v>0</v>
      </c>
      <c r="H46" s="3">
        <f t="shared" si="0"/>
        <v>8085.635000000002</v>
      </c>
      <c r="I46" s="3">
        <f>'July 2023'!N46</f>
        <v>0</v>
      </c>
      <c r="J46" s="3">
        <v>0</v>
      </c>
      <c r="K46" s="3">
        <f>'July 2023'!K46+'Aug 2023'!J46</f>
        <v>0</v>
      </c>
      <c r="L46" s="3">
        <v>0</v>
      </c>
      <c r="M46" s="3">
        <f>'July 2023'!M46+'Aug 2023'!L46</f>
        <v>0</v>
      </c>
      <c r="N46" s="3">
        <f t="shared" si="1"/>
        <v>0</v>
      </c>
      <c r="O46" s="3">
        <f>'July 2023'!T46</f>
        <v>47.03</v>
      </c>
      <c r="P46" s="3">
        <v>0</v>
      </c>
      <c r="Q46" s="3">
        <f>'July 2023'!Q46+'Aug 2023'!P46</f>
        <v>0</v>
      </c>
      <c r="R46" s="3">
        <v>0</v>
      </c>
      <c r="S46" s="3">
        <f>'July 2023'!S46+'Aug 2023'!R46</f>
        <v>0</v>
      </c>
      <c r="T46" s="3">
        <f t="shared" si="2"/>
        <v>47.03</v>
      </c>
      <c r="U46" s="3">
        <f t="shared" si="3"/>
        <v>8132.6650000000018</v>
      </c>
    </row>
    <row r="47" spans="1:23" s="4" customFormat="1" ht="38.25" customHeight="1">
      <c r="A47" s="35">
        <v>31</v>
      </c>
      <c r="B47" s="38" t="s">
        <v>53</v>
      </c>
      <c r="C47" s="3">
        <f>'July 2023'!H47</f>
        <v>9349.4899999999943</v>
      </c>
      <c r="D47" s="3">
        <v>7.94</v>
      </c>
      <c r="E47" s="3">
        <f>'July 2023'!E47+'Aug 2023'!D47</f>
        <v>279.72999999999996</v>
      </c>
      <c r="F47" s="3">
        <v>0</v>
      </c>
      <c r="G47" s="3">
        <f>'July 2023'!G47+'Aug 2023'!F47</f>
        <v>0</v>
      </c>
      <c r="H47" s="3">
        <f t="shared" si="0"/>
        <v>9357.4299999999948</v>
      </c>
      <c r="I47" s="3">
        <f>'July 2023'!N47</f>
        <v>3.13</v>
      </c>
      <c r="J47" s="3">
        <v>0</v>
      </c>
      <c r="K47" s="3">
        <f>'July 2023'!K47+'Aug 2023'!J47</f>
        <v>0</v>
      </c>
      <c r="L47" s="3">
        <v>0</v>
      </c>
      <c r="M47" s="3">
        <f>'July 2023'!M47+'Aug 2023'!L47</f>
        <v>0</v>
      </c>
      <c r="N47" s="3">
        <f t="shared" si="1"/>
        <v>3.13</v>
      </c>
      <c r="O47" s="3">
        <f>'July 2023'!T47</f>
        <v>118.94999999999999</v>
      </c>
      <c r="P47" s="3">
        <v>0</v>
      </c>
      <c r="Q47" s="3">
        <f>'July 2023'!Q47+'Aug 2023'!P47</f>
        <v>0</v>
      </c>
      <c r="R47" s="3">
        <v>0</v>
      </c>
      <c r="S47" s="3">
        <f>'July 2023'!S47+'Aug 2023'!R47</f>
        <v>0</v>
      </c>
      <c r="T47" s="3">
        <f t="shared" si="2"/>
        <v>118.94999999999999</v>
      </c>
      <c r="U47" s="3">
        <f t="shared" si="3"/>
        <v>9479.5099999999948</v>
      </c>
    </row>
    <row r="48" spans="1:23" s="4" customFormat="1" ht="38.25" customHeight="1">
      <c r="A48" s="35">
        <v>32</v>
      </c>
      <c r="B48" s="38" t="s">
        <v>54</v>
      </c>
      <c r="C48" s="3">
        <f>'July 2023'!H48</f>
        <v>8642.8189999999977</v>
      </c>
      <c r="D48" s="3">
        <v>2.54</v>
      </c>
      <c r="E48" s="3">
        <f>'July 2023'!E48+'Aug 2023'!D48</f>
        <v>39.410000000000004</v>
      </c>
      <c r="F48" s="3">
        <v>0</v>
      </c>
      <c r="G48" s="3">
        <f>'July 2023'!G48+'Aug 2023'!F48</f>
        <v>0</v>
      </c>
      <c r="H48" s="3">
        <f t="shared" si="0"/>
        <v>8645.3589999999986</v>
      </c>
      <c r="I48" s="3">
        <f>'July 2023'!N48</f>
        <v>5.0249999999999995</v>
      </c>
      <c r="J48" s="3">
        <v>0</v>
      </c>
      <c r="K48" s="3">
        <f>'July 2023'!K48+'Aug 2023'!J48</f>
        <v>0</v>
      </c>
      <c r="L48" s="3">
        <v>0</v>
      </c>
      <c r="M48" s="3">
        <f>'July 2023'!M48+'Aug 2023'!L48</f>
        <v>0</v>
      </c>
      <c r="N48" s="3">
        <f t="shared" si="1"/>
        <v>5.0249999999999995</v>
      </c>
      <c r="O48" s="3">
        <f>'July 2023'!T48</f>
        <v>4.21</v>
      </c>
      <c r="P48" s="3">
        <v>0</v>
      </c>
      <c r="Q48" s="3">
        <f>'July 2023'!Q48+'Aug 2023'!P48</f>
        <v>0</v>
      </c>
      <c r="R48" s="3">
        <v>0</v>
      </c>
      <c r="S48" s="3">
        <f>'July 2023'!S48+'Aug 2023'!R48</f>
        <v>0</v>
      </c>
      <c r="T48" s="3">
        <f t="shared" si="2"/>
        <v>4.21</v>
      </c>
      <c r="U48" s="3">
        <f t="shared" si="3"/>
        <v>8654.5939999999973</v>
      </c>
    </row>
    <row r="49" spans="1:24" s="4" customFormat="1" ht="38.25" customHeight="1">
      <c r="A49" s="34"/>
      <c r="B49" s="37" t="s">
        <v>55</v>
      </c>
      <c r="C49" s="5">
        <f>'July 2023'!H49</f>
        <v>34521.816099999989</v>
      </c>
      <c r="D49" s="5">
        <f t="shared" ref="D49:U49" si="14">SUM(D45:D48)</f>
        <v>34.54</v>
      </c>
      <c r="E49" s="5">
        <f t="shared" si="14"/>
        <v>561.66</v>
      </c>
      <c r="F49" s="5">
        <f t="shared" si="14"/>
        <v>0</v>
      </c>
      <c r="G49" s="5">
        <f t="shared" si="14"/>
        <v>0</v>
      </c>
      <c r="H49" s="5">
        <f t="shared" si="14"/>
        <v>34556.35609999999</v>
      </c>
      <c r="I49" s="5">
        <f>'July 2023'!N49</f>
        <v>269.30499999999989</v>
      </c>
      <c r="J49" s="5">
        <f t="shared" si="14"/>
        <v>0</v>
      </c>
      <c r="K49" s="5">
        <f t="shared" si="14"/>
        <v>0.1</v>
      </c>
      <c r="L49" s="5">
        <f t="shared" si="14"/>
        <v>0</v>
      </c>
      <c r="M49" s="5">
        <f t="shared" si="14"/>
        <v>0</v>
      </c>
      <c r="N49" s="5">
        <f t="shared" si="14"/>
        <v>269.30499999999989</v>
      </c>
      <c r="O49" s="5">
        <f>'July 2023'!T49</f>
        <v>254.64000000000001</v>
      </c>
      <c r="P49" s="5">
        <f t="shared" si="14"/>
        <v>0</v>
      </c>
      <c r="Q49" s="5">
        <f t="shared" si="14"/>
        <v>0.06</v>
      </c>
      <c r="R49" s="5">
        <f t="shared" si="14"/>
        <v>0</v>
      </c>
      <c r="S49" s="5">
        <f t="shared" si="14"/>
        <v>0</v>
      </c>
      <c r="T49" s="5">
        <f t="shared" si="14"/>
        <v>254.64000000000001</v>
      </c>
      <c r="U49" s="5">
        <f t="shared" si="14"/>
        <v>35080.301099999997</v>
      </c>
    </row>
    <row r="50" spans="1:24" s="4" customFormat="1" ht="38.25" customHeight="1">
      <c r="A50" s="34"/>
      <c r="B50" s="37" t="s">
        <v>56</v>
      </c>
      <c r="C50" s="5">
        <f>'July 2023'!H50</f>
        <v>75660.532099999982</v>
      </c>
      <c r="D50" s="5">
        <f t="shared" ref="D50:U50" si="15">D49+D44</f>
        <v>659.8</v>
      </c>
      <c r="E50" s="5">
        <f t="shared" si="15"/>
        <v>3864.98</v>
      </c>
      <c r="F50" s="5">
        <f t="shared" si="15"/>
        <v>0</v>
      </c>
      <c r="G50" s="5">
        <f t="shared" si="15"/>
        <v>0</v>
      </c>
      <c r="H50" s="5">
        <f t="shared" si="15"/>
        <v>76320.332099999971</v>
      </c>
      <c r="I50" s="5">
        <f>'July 2023'!N50</f>
        <v>495.82499999999987</v>
      </c>
      <c r="J50" s="5">
        <f t="shared" si="15"/>
        <v>0</v>
      </c>
      <c r="K50" s="5">
        <f t="shared" si="15"/>
        <v>0.1</v>
      </c>
      <c r="L50" s="5">
        <f t="shared" si="15"/>
        <v>0</v>
      </c>
      <c r="M50" s="5">
        <f t="shared" si="15"/>
        <v>0</v>
      </c>
      <c r="N50" s="5">
        <f t="shared" si="15"/>
        <v>495.82499999999987</v>
      </c>
      <c r="O50" s="5">
        <f>'July 2023'!T50</f>
        <v>738.0100000000001</v>
      </c>
      <c r="P50" s="5">
        <f t="shared" si="15"/>
        <v>0</v>
      </c>
      <c r="Q50" s="5">
        <f t="shared" si="15"/>
        <v>0.06</v>
      </c>
      <c r="R50" s="5">
        <f t="shared" si="15"/>
        <v>0</v>
      </c>
      <c r="S50" s="5">
        <f t="shared" si="15"/>
        <v>0</v>
      </c>
      <c r="T50" s="5">
        <f t="shared" si="15"/>
        <v>738.0100000000001</v>
      </c>
      <c r="U50" s="5">
        <f t="shared" si="15"/>
        <v>77554.167099999991</v>
      </c>
    </row>
    <row r="51" spans="1:24" s="4" customFormat="1" ht="38.25" customHeight="1">
      <c r="A51" s="34"/>
      <c r="B51" s="37" t="s">
        <v>57</v>
      </c>
      <c r="C51" s="5">
        <f>'July 2023'!H51</f>
        <v>125650.68589999998</v>
      </c>
      <c r="D51" s="5">
        <f t="shared" ref="D51:U51" si="16">D50+D39+D25</f>
        <v>1456.385</v>
      </c>
      <c r="E51" s="5">
        <f t="shared" si="16"/>
        <v>7688.5720000000001</v>
      </c>
      <c r="F51" s="5">
        <f t="shared" si="16"/>
        <v>2.2999999999999998</v>
      </c>
      <c r="G51" s="5">
        <f t="shared" si="16"/>
        <v>19.920000000000002</v>
      </c>
      <c r="H51" s="26">
        <f t="shared" si="16"/>
        <v>127104.77089999996</v>
      </c>
      <c r="I51" s="5">
        <f>'July 2023'!N51</f>
        <v>11126.092000000001</v>
      </c>
      <c r="J51" s="5">
        <f t="shared" si="16"/>
        <v>73.664999999999992</v>
      </c>
      <c r="K51" s="5">
        <f t="shared" si="16"/>
        <v>291.36099999999999</v>
      </c>
      <c r="L51" s="5">
        <f t="shared" si="16"/>
        <v>0</v>
      </c>
      <c r="M51" s="5">
        <f t="shared" si="16"/>
        <v>0.49</v>
      </c>
      <c r="N51" s="26">
        <f t="shared" si="16"/>
        <v>11199.757</v>
      </c>
      <c r="O51" s="5">
        <f>'July 2023'!T51</f>
        <v>1631.27</v>
      </c>
      <c r="P51" s="5">
        <f t="shared" si="16"/>
        <v>0</v>
      </c>
      <c r="Q51" s="5">
        <f t="shared" si="16"/>
        <v>1.53</v>
      </c>
      <c r="R51" s="5">
        <f t="shared" si="16"/>
        <v>33.800000000000004</v>
      </c>
      <c r="S51" s="5">
        <f t="shared" si="16"/>
        <v>81.3</v>
      </c>
      <c r="T51" s="26">
        <f t="shared" si="16"/>
        <v>1597.47</v>
      </c>
      <c r="U51" s="5">
        <f t="shared" si="16"/>
        <v>139901.99790000002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1493.95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7879.7529999999997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139901.99789999996</v>
      </c>
      <c r="K56" s="13"/>
      <c r="L56" s="13"/>
      <c r="M56" s="16"/>
      <c r="N56" s="13"/>
      <c r="P56" s="9"/>
      <c r="Q56" s="17"/>
      <c r="U56" s="17"/>
    </row>
    <row r="57" spans="1:24">
      <c r="P57" s="1"/>
      <c r="Q57" s="1"/>
      <c r="R57" s="1"/>
      <c r="S57" s="2"/>
      <c r="T57" s="1"/>
      <c r="U57" s="1"/>
    </row>
  </sheetData>
  <mergeCells count="26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opLeftCell="A46" zoomScale="39" zoomScaleNormal="39" workbookViewId="0">
      <selection activeCell="A49" sqref="A49:XFD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'Aug 2023'!H7</f>
        <v>7.179999999999982</v>
      </c>
      <c r="D7" s="3">
        <v>0</v>
      </c>
      <c r="E7" s="3">
        <f>'Aug 2023'!E7+'Sep 2023'!D7</f>
        <v>0</v>
      </c>
      <c r="F7" s="3">
        <v>0</v>
      </c>
      <c r="G7" s="3">
        <f>'Aug 2023'!G7+'Sep 2023'!F7</f>
        <v>0</v>
      </c>
      <c r="H7" s="3">
        <f>C7+D7-F7</f>
        <v>7.179999999999982</v>
      </c>
      <c r="I7" s="3">
        <f>'Aug 2023'!N7</f>
        <v>724.25699999999972</v>
      </c>
      <c r="J7" s="3">
        <v>1.48</v>
      </c>
      <c r="K7" s="3">
        <f>'Aug 2023'!K7+'Sep 2023'!J7</f>
        <v>11.280000000000001</v>
      </c>
      <c r="L7" s="3">
        <v>0</v>
      </c>
      <c r="M7" s="3">
        <f>'Aug 2023'!M7+'Sep 2023'!L7</f>
        <v>0</v>
      </c>
      <c r="N7" s="3">
        <f>I7+J7-L7</f>
        <v>725.73699999999974</v>
      </c>
      <c r="O7" s="3">
        <f>'Aug 2023'!T7</f>
        <v>8.436000000000007</v>
      </c>
      <c r="P7" s="3">
        <v>0</v>
      </c>
      <c r="Q7" s="3">
        <f>'Aug 2023'!Q7+'Sep 2023'!P7</f>
        <v>0</v>
      </c>
      <c r="R7" s="3">
        <v>0</v>
      </c>
      <c r="S7" s="3">
        <f>'Aug 2023'!S7+'Sep 2023'!R7</f>
        <v>0</v>
      </c>
      <c r="T7" s="3">
        <f>O7+P7-R7</f>
        <v>8.436000000000007</v>
      </c>
      <c r="U7" s="3">
        <f>H7+N7+T7</f>
        <v>741.35299999999972</v>
      </c>
    </row>
    <row r="8" spans="1:22" ht="38.25" customHeight="1">
      <c r="A8" s="35">
        <v>2</v>
      </c>
      <c r="B8" s="38" t="s">
        <v>14</v>
      </c>
      <c r="C8" s="3">
        <f>'Aug 2023'!H8</f>
        <v>265.98999999999995</v>
      </c>
      <c r="D8" s="3">
        <v>0</v>
      </c>
      <c r="E8" s="3">
        <f>'Aug 2023'!E8+'Sep 2023'!D8</f>
        <v>0</v>
      </c>
      <c r="F8" s="3">
        <v>0</v>
      </c>
      <c r="G8" s="3">
        <f>'Aug 2023'!G8+'Sep 2023'!F8</f>
        <v>0</v>
      </c>
      <c r="H8" s="3">
        <f t="shared" ref="H8:H48" si="0">C8+D8-F8</f>
        <v>265.98999999999995</v>
      </c>
      <c r="I8" s="3">
        <f>'Aug 2023'!N8</f>
        <v>469.27600000000012</v>
      </c>
      <c r="J8" s="3">
        <v>8.24</v>
      </c>
      <c r="K8" s="3">
        <f>'Aug 2023'!K8+'Sep 2023'!J8</f>
        <v>79.37</v>
      </c>
      <c r="L8" s="3">
        <v>0</v>
      </c>
      <c r="M8" s="3">
        <f>'Aug 2023'!M8+'Sep 2023'!L8</f>
        <v>0</v>
      </c>
      <c r="N8" s="3">
        <f t="shared" ref="N8:N48" si="1">I8+J8-L8</f>
        <v>477.51600000000013</v>
      </c>
      <c r="O8" s="3">
        <f>'Aug 2023'!T8</f>
        <v>66.290000000000006</v>
      </c>
      <c r="P8" s="3">
        <v>0</v>
      </c>
      <c r="Q8" s="3">
        <f>'Aug 2023'!Q8+'Sep 2023'!P8</f>
        <v>0</v>
      </c>
      <c r="R8" s="3">
        <v>0</v>
      </c>
      <c r="S8" s="3">
        <f>'Aug 2023'!S8+'Sep 2023'!R8</f>
        <v>0</v>
      </c>
      <c r="T8" s="3">
        <f t="shared" ref="T8:T48" si="2">O8+P8-R8</f>
        <v>66.290000000000006</v>
      </c>
      <c r="U8" s="3">
        <f t="shared" ref="U8:U48" si="3">H8+N8+T8</f>
        <v>809.79600000000005</v>
      </c>
    </row>
    <row r="9" spans="1:22" ht="38.25" customHeight="1">
      <c r="A9" s="35">
        <v>3</v>
      </c>
      <c r="B9" s="38" t="s">
        <v>15</v>
      </c>
      <c r="C9" s="3">
        <f>'Aug 2023'!H9</f>
        <v>209.16</v>
      </c>
      <c r="D9" s="3">
        <v>0</v>
      </c>
      <c r="E9" s="3">
        <f>'Aug 2023'!E9+'Sep 2023'!D9</f>
        <v>0</v>
      </c>
      <c r="F9" s="3">
        <v>0</v>
      </c>
      <c r="G9" s="3">
        <f>'Aug 2023'!G9+'Sep 2023'!F9</f>
        <v>0</v>
      </c>
      <c r="H9" s="3">
        <f t="shared" si="0"/>
        <v>209.16</v>
      </c>
      <c r="I9" s="3">
        <f>'Aug 2023'!N9</f>
        <v>933.64799999999991</v>
      </c>
      <c r="J9" s="3">
        <v>5.18</v>
      </c>
      <c r="K9" s="3">
        <f>'Aug 2023'!K9+'Sep 2023'!J9</f>
        <v>35.58</v>
      </c>
      <c r="L9" s="3">
        <v>0</v>
      </c>
      <c r="M9" s="3">
        <f>'Aug 2023'!M9+'Sep 2023'!L9</f>
        <v>0</v>
      </c>
      <c r="N9" s="3">
        <f t="shared" si="1"/>
        <v>938.82799999999986</v>
      </c>
      <c r="O9" s="3">
        <f>'Aug 2023'!T9</f>
        <v>44.739999999999995</v>
      </c>
      <c r="P9" s="3">
        <v>0</v>
      </c>
      <c r="Q9" s="3">
        <f>'Aug 2023'!Q9+'Sep 2023'!P9</f>
        <v>0</v>
      </c>
      <c r="R9" s="3">
        <v>0</v>
      </c>
      <c r="S9" s="3">
        <f>'Aug 2023'!S9+'Sep 2023'!R9</f>
        <v>0</v>
      </c>
      <c r="T9" s="3">
        <f t="shared" si="2"/>
        <v>44.739999999999995</v>
      </c>
      <c r="U9" s="3">
        <f t="shared" si="3"/>
        <v>1192.7279999999998</v>
      </c>
    </row>
    <row r="10" spans="1:22" s="4" customFormat="1" ht="38.25" customHeight="1">
      <c r="A10" s="35">
        <v>4</v>
      </c>
      <c r="B10" s="38" t="s">
        <v>16</v>
      </c>
      <c r="C10" s="3">
        <f>'Aug 2023'!H10</f>
        <v>0</v>
      </c>
      <c r="D10" s="3">
        <v>0</v>
      </c>
      <c r="E10" s="3">
        <f>'Aug 2023'!E10+'Sep 2023'!D10</f>
        <v>0</v>
      </c>
      <c r="F10" s="3">
        <v>0</v>
      </c>
      <c r="G10" s="3">
        <f>'Aug 2023'!G10+'Sep 2023'!F10</f>
        <v>0</v>
      </c>
      <c r="H10" s="3">
        <f t="shared" si="0"/>
        <v>0</v>
      </c>
      <c r="I10" s="3">
        <f>'Aug 2023'!N10</f>
        <v>371.22599999999989</v>
      </c>
      <c r="J10" s="3">
        <v>0.375</v>
      </c>
      <c r="K10" s="3">
        <f>'Aug 2023'!K10+'Sep 2023'!J10</f>
        <v>6.6280000000000001</v>
      </c>
      <c r="L10" s="3">
        <v>0</v>
      </c>
      <c r="M10" s="3">
        <f>'Aug 2023'!M10+'Sep 2023'!L10</f>
        <v>0</v>
      </c>
      <c r="N10" s="3">
        <f t="shared" si="1"/>
        <v>371.60099999999989</v>
      </c>
      <c r="O10" s="3">
        <f>'Aug 2023'!T10</f>
        <v>0.20000000000000007</v>
      </c>
      <c r="P10" s="3">
        <v>0</v>
      </c>
      <c r="Q10" s="3">
        <f>'Aug 2023'!Q10+'Sep 2023'!P10</f>
        <v>0</v>
      </c>
      <c r="R10" s="3">
        <v>0</v>
      </c>
      <c r="S10" s="3">
        <f>'Aug 2023'!S10+'Sep 2023'!R10</f>
        <v>0</v>
      </c>
      <c r="T10" s="3">
        <f t="shared" si="2"/>
        <v>0.20000000000000007</v>
      </c>
      <c r="U10" s="3">
        <f t="shared" si="3"/>
        <v>371.80099999999987</v>
      </c>
    </row>
    <row r="11" spans="1:22" s="4" customFormat="1" ht="38.25" customHeight="1">
      <c r="A11" s="34"/>
      <c r="B11" s="37" t="s">
        <v>17</v>
      </c>
      <c r="C11" s="5">
        <f>'Aug 2023'!H11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'Aug 2023'!N11</f>
        <v>2498.4069999999992</v>
      </c>
      <c r="J11" s="5">
        <f t="shared" si="4"/>
        <v>15.275</v>
      </c>
      <c r="K11" s="5">
        <f t="shared" si="4"/>
        <v>132.858</v>
      </c>
      <c r="L11" s="5">
        <f t="shared" si="4"/>
        <v>0</v>
      </c>
      <c r="M11" s="5">
        <f t="shared" si="4"/>
        <v>0</v>
      </c>
      <c r="N11" s="5">
        <f t="shared" si="4"/>
        <v>2513.6819999999998</v>
      </c>
      <c r="O11" s="5">
        <f>'Aug 2023'!T11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3115.6779999999994</v>
      </c>
      <c r="V11" s="33"/>
    </row>
    <row r="12" spans="1:22" ht="38.25" customHeight="1">
      <c r="A12" s="35">
        <v>5</v>
      </c>
      <c r="B12" s="38" t="s">
        <v>18</v>
      </c>
      <c r="C12" s="3">
        <f>'Aug 2023'!H12</f>
        <v>22.179999999999609</v>
      </c>
      <c r="D12" s="3">
        <v>0</v>
      </c>
      <c r="E12" s="3">
        <f>'Aug 2023'!E12+'Sep 2023'!D12</f>
        <v>0</v>
      </c>
      <c r="F12" s="3">
        <v>0</v>
      </c>
      <c r="G12" s="3">
        <f>'Aug 2023'!G12+'Sep 2023'!F12</f>
        <v>0</v>
      </c>
      <c r="H12" s="3">
        <f t="shared" si="0"/>
        <v>22.179999999999609</v>
      </c>
      <c r="I12" s="3">
        <f>'Aug 2023'!N12</f>
        <v>1292.4049999999997</v>
      </c>
      <c r="J12" s="25">
        <v>1.35</v>
      </c>
      <c r="K12" s="3">
        <f>'Aug 2023'!K12+'Sep 2023'!J12</f>
        <v>17.32</v>
      </c>
      <c r="L12" s="3">
        <v>0</v>
      </c>
      <c r="M12" s="3">
        <f>'Aug 2023'!M12+'Sep 2023'!L12</f>
        <v>0</v>
      </c>
      <c r="N12" s="3">
        <f t="shared" si="1"/>
        <v>1293.7549999999997</v>
      </c>
      <c r="O12" s="3">
        <f>'Aug 2023'!T12</f>
        <v>1.9700000000000095</v>
      </c>
      <c r="P12" s="3">
        <v>0</v>
      </c>
      <c r="Q12" s="3">
        <f>'Aug 2023'!Q12+'Sep 2023'!P12</f>
        <v>0</v>
      </c>
      <c r="R12" s="3">
        <v>0</v>
      </c>
      <c r="S12" s="3">
        <f>'Aug 2023'!S12+'Sep 2023'!R12</f>
        <v>0</v>
      </c>
      <c r="T12" s="3">
        <f t="shared" si="2"/>
        <v>1.9700000000000095</v>
      </c>
      <c r="U12" s="3">
        <f t="shared" si="3"/>
        <v>1317.9049999999993</v>
      </c>
    </row>
    <row r="13" spans="1:22" ht="38.25" customHeight="1">
      <c r="A13" s="35">
        <v>6</v>
      </c>
      <c r="B13" s="38" t="s">
        <v>19</v>
      </c>
      <c r="C13" s="3">
        <f>'Aug 2023'!H13</f>
        <v>312.23000000000013</v>
      </c>
      <c r="D13" s="3">
        <v>0</v>
      </c>
      <c r="E13" s="3">
        <f>'Aug 2023'!E13+'Sep 2023'!D13</f>
        <v>0</v>
      </c>
      <c r="F13" s="3">
        <v>0</v>
      </c>
      <c r="G13" s="3">
        <f>'Aug 2023'!G13+'Sep 2023'!F13</f>
        <v>0</v>
      </c>
      <c r="H13" s="3">
        <f t="shared" si="0"/>
        <v>312.23000000000013</v>
      </c>
      <c r="I13" s="3">
        <f>'Aug 2023'!N13</f>
        <v>554.77200000000028</v>
      </c>
      <c r="J13" s="25">
        <v>1.29</v>
      </c>
      <c r="K13" s="3">
        <f>'Aug 2023'!K13+'Sep 2023'!J13</f>
        <v>10.530000000000001</v>
      </c>
      <c r="L13" s="3">
        <v>0</v>
      </c>
      <c r="M13" s="3">
        <f>'Aug 2023'!M13+'Sep 2023'!L13</f>
        <v>0</v>
      </c>
      <c r="N13" s="3">
        <f t="shared" si="1"/>
        <v>556.06200000000024</v>
      </c>
      <c r="O13" s="3">
        <f>'Aug 2023'!T13</f>
        <v>68.39</v>
      </c>
      <c r="P13" s="3">
        <v>0</v>
      </c>
      <c r="Q13" s="3">
        <f>'Aug 2023'!Q13+'Sep 2023'!P13</f>
        <v>0</v>
      </c>
      <c r="R13" s="3">
        <v>0</v>
      </c>
      <c r="S13" s="3">
        <f>'Aug 2023'!S13+'Sep 2023'!R13</f>
        <v>0</v>
      </c>
      <c r="T13" s="3">
        <f t="shared" si="2"/>
        <v>68.39</v>
      </c>
      <c r="U13" s="3">
        <f t="shared" si="3"/>
        <v>936.68200000000036</v>
      </c>
    </row>
    <row r="14" spans="1:22" s="4" customFormat="1" ht="38.25" customHeight="1">
      <c r="A14" s="35">
        <v>7</v>
      </c>
      <c r="B14" s="38" t="s">
        <v>20</v>
      </c>
      <c r="C14" s="3">
        <f>'Aug 2023'!H14</f>
        <v>1216.4399999999994</v>
      </c>
      <c r="D14" s="3">
        <v>0</v>
      </c>
      <c r="E14" s="3">
        <f>'Aug 2023'!E14+'Sep 2023'!D14</f>
        <v>0</v>
      </c>
      <c r="F14" s="3">
        <v>0</v>
      </c>
      <c r="G14" s="3">
        <f>'Aug 2023'!G14+'Sep 2023'!F14</f>
        <v>0</v>
      </c>
      <c r="H14" s="3">
        <f t="shared" si="0"/>
        <v>1216.4399999999994</v>
      </c>
      <c r="I14" s="3">
        <f>'Aug 2023'!N14</f>
        <v>928.31800000000032</v>
      </c>
      <c r="J14" s="25">
        <v>3.58</v>
      </c>
      <c r="K14" s="3">
        <f>'Aug 2023'!K14+'Sep 2023'!J14</f>
        <v>28.4</v>
      </c>
      <c r="L14" s="3">
        <v>0</v>
      </c>
      <c r="M14" s="3">
        <f>'Aug 2023'!M14+'Sep 2023'!L14</f>
        <v>0</v>
      </c>
      <c r="N14" s="3">
        <f t="shared" si="1"/>
        <v>931.89800000000037</v>
      </c>
      <c r="O14" s="3">
        <f>'Aug 2023'!T14</f>
        <v>61.329999999999991</v>
      </c>
      <c r="P14" s="3">
        <v>0</v>
      </c>
      <c r="Q14" s="3">
        <f>'Aug 2023'!Q14+'Sep 2023'!P14</f>
        <v>0</v>
      </c>
      <c r="R14" s="3">
        <v>0</v>
      </c>
      <c r="S14" s="3">
        <f>'Aug 2023'!S14+'Sep 2023'!R14</f>
        <v>0</v>
      </c>
      <c r="T14" s="3">
        <f t="shared" si="2"/>
        <v>61.329999999999991</v>
      </c>
      <c r="U14" s="3">
        <f t="shared" si="3"/>
        <v>2209.6679999999997</v>
      </c>
    </row>
    <row r="15" spans="1:22" s="4" customFormat="1" ht="38.25" customHeight="1">
      <c r="A15" s="34"/>
      <c r="B15" s="37" t="s">
        <v>21</v>
      </c>
      <c r="C15" s="5">
        <f>'Aug 2023'!H15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1550.849999999999</v>
      </c>
      <c r="I15" s="5">
        <f>'Aug 2023'!N15</f>
        <v>2775.4950000000003</v>
      </c>
      <c r="J15" s="5">
        <f t="shared" si="5"/>
        <v>6.2200000000000006</v>
      </c>
      <c r="K15" s="5">
        <f t="shared" si="5"/>
        <v>56.25</v>
      </c>
      <c r="L15" s="5">
        <f t="shared" si="5"/>
        <v>0</v>
      </c>
      <c r="M15" s="5">
        <f t="shared" si="5"/>
        <v>0</v>
      </c>
      <c r="N15" s="5">
        <f t="shared" si="5"/>
        <v>2781.7150000000001</v>
      </c>
      <c r="O15" s="5">
        <f>'Aug 2023'!T15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4464.2549999999992</v>
      </c>
      <c r="V15" s="33"/>
    </row>
    <row r="16" spans="1:22" s="6" customFormat="1" ht="38.25" customHeight="1">
      <c r="A16" s="35">
        <v>8</v>
      </c>
      <c r="B16" s="38" t="s">
        <v>22</v>
      </c>
      <c r="C16" s="3">
        <f>'Aug 2023'!H16</f>
        <v>758.68400000000042</v>
      </c>
      <c r="D16" s="3">
        <v>0.7</v>
      </c>
      <c r="E16" s="3">
        <f>'Aug 2023'!E16+'Sep 2023'!D16</f>
        <v>9.7499999999999982</v>
      </c>
      <c r="F16" s="3">
        <v>0</v>
      </c>
      <c r="G16" s="3">
        <f>'Aug 2023'!G16+'Sep 2023'!F16</f>
        <v>6.53</v>
      </c>
      <c r="H16" s="3">
        <f t="shared" si="0"/>
        <v>759.38400000000047</v>
      </c>
      <c r="I16" s="3">
        <f>'Aug 2023'!N16</f>
        <v>582.8760000000002</v>
      </c>
      <c r="J16" s="3">
        <v>1.42</v>
      </c>
      <c r="K16" s="3">
        <f>'Aug 2023'!K16+'Sep 2023'!J16</f>
        <v>7.32</v>
      </c>
      <c r="L16" s="3">
        <v>0</v>
      </c>
      <c r="M16" s="3">
        <f>'Aug 2023'!M16+'Sep 2023'!L16</f>
        <v>0</v>
      </c>
      <c r="N16" s="3">
        <f t="shared" si="1"/>
        <v>584.29600000000016</v>
      </c>
      <c r="O16" s="3">
        <f>'Aug 2023'!T16</f>
        <v>114.09200000000004</v>
      </c>
      <c r="P16" s="3">
        <v>0</v>
      </c>
      <c r="Q16" s="3">
        <f>'Aug 2023'!Q16+'Sep 2023'!P16</f>
        <v>0.08</v>
      </c>
      <c r="R16" s="3">
        <v>0.74</v>
      </c>
      <c r="S16" s="3">
        <f>'Aug 2023'!S16+'Sep 2023'!R16</f>
        <v>64.17</v>
      </c>
      <c r="T16" s="3">
        <f t="shared" si="2"/>
        <v>113.35200000000005</v>
      </c>
      <c r="U16" s="3">
        <f t="shared" si="3"/>
        <v>1457.0320000000008</v>
      </c>
    </row>
    <row r="17" spans="1:23" ht="61.5" customHeight="1">
      <c r="A17" s="7">
        <v>9</v>
      </c>
      <c r="B17" s="8" t="s">
        <v>23</v>
      </c>
      <c r="C17" s="3">
        <f>'Aug 2023'!H17</f>
        <v>2.7259999999999476</v>
      </c>
      <c r="D17" s="3">
        <v>0</v>
      </c>
      <c r="E17" s="3">
        <f>'Aug 2023'!E17+'Sep 2023'!D17</f>
        <v>0.05</v>
      </c>
      <c r="F17" s="3">
        <v>0</v>
      </c>
      <c r="G17" s="3">
        <f>'Aug 2023'!G17+'Sep 2023'!F17</f>
        <v>0</v>
      </c>
      <c r="H17" s="3">
        <f t="shared" si="0"/>
        <v>2.7259999999999476</v>
      </c>
      <c r="I17" s="3">
        <f>'Aug 2023'!N17</f>
        <v>604.71</v>
      </c>
      <c r="J17" s="3">
        <v>2.09</v>
      </c>
      <c r="K17" s="3">
        <f>'Aug 2023'!K17+'Sep 2023'!J17</f>
        <v>18.11</v>
      </c>
      <c r="L17" s="3">
        <v>0</v>
      </c>
      <c r="M17" s="3">
        <f>'Aug 2023'!M17+'Sep 2023'!L17</f>
        <v>0.43</v>
      </c>
      <c r="N17" s="3">
        <f t="shared" si="1"/>
        <v>606.80000000000007</v>
      </c>
      <c r="O17" s="3">
        <f>'Aug 2023'!T17</f>
        <v>1.5399999999999998</v>
      </c>
      <c r="P17" s="3">
        <v>0</v>
      </c>
      <c r="Q17" s="3">
        <f>'Aug 2023'!Q17+'Sep 2023'!P17</f>
        <v>1.22</v>
      </c>
      <c r="R17" s="3">
        <v>0</v>
      </c>
      <c r="S17" s="3">
        <f>'Aug 2023'!S17+'Sep 2023'!R17</f>
        <v>1.63</v>
      </c>
      <c r="T17" s="3">
        <f t="shared" si="2"/>
        <v>1.5399999999999998</v>
      </c>
      <c r="U17" s="3">
        <f t="shared" si="3"/>
        <v>611.06600000000003</v>
      </c>
    </row>
    <row r="18" spans="1:23" s="4" customFormat="1" ht="38.25" customHeight="1">
      <c r="A18" s="35">
        <v>10</v>
      </c>
      <c r="B18" s="38" t="s">
        <v>24</v>
      </c>
      <c r="C18" s="3">
        <f>'Aug 2023'!H18</f>
        <v>90.266000000000147</v>
      </c>
      <c r="D18" s="3">
        <v>0</v>
      </c>
      <c r="E18" s="3">
        <f>'Aug 2023'!E18+'Sep 2023'!D18</f>
        <v>0.05</v>
      </c>
      <c r="F18" s="3">
        <v>0</v>
      </c>
      <c r="G18" s="3">
        <f>'Aug 2023'!G18+'Sep 2023'!F18</f>
        <v>0.05</v>
      </c>
      <c r="H18" s="3">
        <f t="shared" si="0"/>
        <v>90.266000000000147</v>
      </c>
      <c r="I18" s="3">
        <f>'Aug 2023'!N18</f>
        <v>623.21</v>
      </c>
      <c r="J18" s="3">
        <v>0.46</v>
      </c>
      <c r="K18" s="3">
        <f>'Aug 2023'!K18+'Sep 2023'!J18</f>
        <v>6.375</v>
      </c>
      <c r="L18" s="3">
        <v>0</v>
      </c>
      <c r="M18" s="3">
        <f>'Aug 2023'!M18+'Sep 2023'!L18</f>
        <v>0</v>
      </c>
      <c r="N18" s="3">
        <f t="shared" si="1"/>
        <v>623.67000000000007</v>
      </c>
      <c r="O18" s="3">
        <f>'Aug 2023'!T18</f>
        <v>35.689999999999991</v>
      </c>
      <c r="P18" s="3">
        <v>0</v>
      </c>
      <c r="Q18" s="3">
        <f>'Aug 2023'!Q18+'Sep 2023'!P18</f>
        <v>0</v>
      </c>
      <c r="R18" s="3">
        <v>0</v>
      </c>
      <c r="S18" s="3">
        <f>'Aug 2023'!S18+'Sep 2023'!R18</f>
        <v>0</v>
      </c>
      <c r="T18" s="3">
        <f t="shared" si="2"/>
        <v>35.689999999999991</v>
      </c>
      <c r="U18" s="3">
        <f t="shared" si="3"/>
        <v>749.6260000000002</v>
      </c>
    </row>
    <row r="19" spans="1:23" s="4" customFormat="1" ht="38.25" customHeight="1">
      <c r="A19" s="34"/>
      <c r="B19" s="37" t="s">
        <v>25</v>
      </c>
      <c r="C19" s="5">
        <f>'Aug 2023'!H19</f>
        <v>851.67600000000061</v>
      </c>
      <c r="D19" s="5">
        <f t="shared" ref="D19:U19" si="6">SUM(D16:D18)</f>
        <v>0.7</v>
      </c>
      <c r="E19" s="5">
        <f t="shared" si="6"/>
        <v>9.85</v>
      </c>
      <c r="F19" s="5">
        <f t="shared" si="6"/>
        <v>0</v>
      </c>
      <c r="G19" s="5">
        <f t="shared" si="6"/>
        <v>6.58</v>
      </c>
      <c r="H19" s="5">
        <f t="shared" si="6"/>
        <v>852.37600000000066</v>
      </c>
      <c r="I19" s="5">
        <f>'Aug 2023'!N19</f>
        <v>1810.7960000000003</v>
      </c>
      <c r="J19" s="5">
        <f t="shared" si="6"/>
        <v>3.9699999999999998</v>
      </c>
      <c r="K19" s="5">
        <f t="shared" si="6"/>
        <v>31.805</v>
      </c>
      <c r="L19" s="5">
        <f t="shared" si="6"/>
        <v>0</v>
      </c>
      <c r="M19" s="5">
        <f t="shared" si="6"/>
        <v>0.43</v>
      </c>
      <c r="N19" s="5">
        <f t="shared" si="6"/>
        <v>1814.7660000000003</v>
      </c>
      <c r="O19" s="5">
        <f>'Aug 2023'!T19</f>
        <v>151.32200000000003</v>
      </c>
      <c r="P19" s="5">
        <f t="shared" si="6"/>
        <v>0</v>
      </c>
      <c r="Q19" s="5">
        <f t="shared" si="6"/>
        <v>1.3</v>
      </c>
      <c r="R19" s="5">
        <f t="shared" si="6"/>
        <v>0.74</v>
      </c>
      <c r="S19" s="5">
        <f t="shared" si="6"/>
        <v>65.8</v>
      </c>
      <c r="T19" s="5">
        <f t="shared" si="6"/>
        <v>150.58200000000005</v>
      </c>
      <c r="U19" s="5">
        <f t="shared" si="6"/>
        <v>2817.7240000000011</v>
      </c>
    </row>
    <row r="20" spans="1:23" ht="38.25" customHeight="1">
      <c r="A20" s="35">
        <v>11</v>
      </c>
      <c r="B20" s="38" t="s">
        <v>26</v>
      </c>
      <c r="C20" s="3">
        <f>'Aug 2023'!H20</f>
        <v>607.42999999999984</v>
      </c>
      <c r="D20" s="3">
        <v>0</v>
      </c>
      <c r="E20" s="3">
        <f>'Aug 2023'!E20+'Sep 2023'!D20</f>
        <v>0</v>
      </c>
      <c r="F20" s="3">
        <v>0</v>
      </c>
      <c r="G20" s="3">
        <f>'Aug 2023'!G20+'Sep 2023'!F20</f>
        <v>0</v>
      </c>
      <c r="H20" s="3">
        <f t="shared" si="0"/>
        <v>607.42999999999984</v>
      </c>
      <c r="I20" s="3">
        <f>'Aug 2023'!N20</f>
        <v>759.18800000000022</v>
      </c>
      <c r="J20" s="3">
        <v>6.66</v>
      </c>
      <c r="K20" s="3">
        <f>'Aug 2023'!K20+'Sep 2023'!J20</f>
        <v>17.46</v>
      </c>
      <c r="L20" s="3">
        <v>0</v>
      </c>
      <c r="M20" s="3">
        <f>'Aug 2023'!M20+'Sep 2023'!L20</f>
        <v>0.02</v>
      </c>
      <c r="N20" s="3">
        <f t="shared" si="1"/>
        <v>765.84800000000018</v>
      </c>
      <c r="O20" s="3">
        <f>'Aug 2023'!T20</f>
        <v>37.580000000000005</v>
      </c>
      <c r="P20" s="3">
        <v>0</v>
      </c>
      <c r="Q20" s="3">
        <f>'Aug 2023'!Q20+'Sep 2023'!P20</f>
        <v>0</v>
      </c>
      <c r="R20" s="3">
        <v>0</v>
      </c>
      <c r="S20" s="3">
        <f>'Aug 2023'!S20+'Sep 2023'!R20</f>
        <v>0</v>
      </c>
      <c r="T20" s="3">
        <f t="shared" si="2"/>
        <v>37.580000000000005</v>
      </c>
      <c r="U20" s="3">
        <f t="shared" si="3"/>
        <v>1410.8579999999999</v>
      </c>
      <c r="W20" s="90"/>
    </row>
    <row r="21" spans="1:23" ht="38.25" customHeight="1">
      <c r="A21" s="35">
        <v>12</v>
      </c>
      <c r="B21" s="38" t="s">
        <v>27</v>
      </c>
      <c r="C21" s="3">
        <f>'Aug 2023'!H21</f>
        <v>1.2000000000000002</v>
      </c>
      <c r="D21" s="3">
        <v>0</v>
      </c>
      <c r="E21" s="3">
        <f>'Aug 2023'!E21+'Sep 2023'!D21</f>
        <v>0</v>
      </c>
      <c r="F21" s="3">
        <v>0</v>
      </c>
      <c r="G21" s="3">
        <f>'Aug 2023'!G21+'Sep 2023'!F21</f>
        <v>0.87</v>
      </c>
      <c r="H21" s="3">
        <f t="shared" si="0"/>
        <v>1.2000000000000002</v>
      </c>
      <c r="I21" s="3">
        <f>'Aug 2023'!N21</f>
        <v>469.94700000000012</v>
      </c>
      <c r="J21" s="3">
        <v>0.83</v>
      </c>
      <c r="K21" s="3">
        <f>'Aug 2023'!K21+'Sep 2023'!J21</f>
        <v>9.370000000000001</v>
      </c>
      <c r="L21" s="3">
        <v>0</v>
      </c>
      <c r="M21" s="3">
        <f>'Aug 2023'!M21+'Sep 2023'!L21</f>
        <v>0.02</v>
      </c>
      <c r="N21" s="3">
        <f t="shared" si="1"/>
        <v>470.7770000000001</v>
      </c>
      <c r="O21" s="3">
        <f>'Aug 2023'!T21</f>
        <v>2.649999999999995</v>
      </c>
      <c r="P21" s="3">
        <v>0</v>
      </c>
      <c r="Q21" s="3">
        <f>'Aug 2023'!Q21+'Sep 2023'!P21</f>
        <v>0</v>
      </c>
      <c r="R21" s="3">
        <v>0</v>
      </c>
      <c r="S21" s="3">
        <f>'Aug 2023'!S21+'Sep 2023'!R21</f>
        <v>16.239999999999998</v>
      </c>
      <c r="T21" s="3">
        <f t="shared" si="2"/>
        <v>2.649999999999995</v>
      </c>
      <c r="U21" s="3">
        <f t="shared" si="3"/>
        <v>474.62700000000007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'Aug 2023'!H22</f>
        <v>22.430000000000021</v>
      </c>
      <c r="D22" s="3">
        <v>0</v>
      </c>
      <c r="E22" s="3">
        <f>'Aug 2023'!E22+'Sep 2023'!D22</f>
        <v>0</v>
      </c>
      <c r="F22" s="3">
        <v>0</v>
      </c>
      <c r="G22" s="3">
        <f>'Aug 2023'!G22+'Sep 2023'!F22</f>
        <v>0</v>
      </c>
      <c r="H22" s="3">
        <f t="shared" si="0"/>
        <v>22.430000000000021</v>
      </c>
      <c r="I22" s="3">
        <f>'Aug 2023'!N22</f>
        <v>700.58</v>
      </c>
      <c r="J22" s="3">
        <v>0.67</v>
      </c>
      <c r="K22" s="3">
        <f>'Aug 2023'!K22+'Sep 2023'!J22</f>
        <v>3.0300000000000002</v>
      </c>
      <c r="L22" s="3">
        <v>0</v>
      </c>
      <c r="M22" s="3">
        <f>'Aug 2023'!M22+'Sep 2023'!L22</f>
        <v>0</v>
      </c>
      <c r="N22" s="3">
        <f t="shared" si="1"/>
        <v>701.25</v>
      </c>
      <c r="O22" s="3">
        <f>'Aug 2023'!T22</f>
        <v>0.60000000000000098</v>
      </c>
      <c r="P22" s="3">
        <v>0</v>
      </c>
      <c r="Q22" s="3">
        <f>'Aug 2023'!Q22+'Sep 2023'!P22</f>
        <v>0</v>
      </c>
      <c r="R22" s="3">
        <v>0</v>
      </c>
      <c r="S22" s="3">
        <f>'Aug 2023'!S22+'Sep 2023'!R22</f>
        <v>0</v>
      </c>
      <c r="T22" s="3">
        <f t="shared" si="2"/>
        <v>0.60000000000000098</v>
      </c>
      <c r="U22" s="3">
        <f t="shared" si="3"/>
        <v>724.28000000000009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'Aug 2023'!H23</f>
        <v>432.16999999999996</v>
      </c>
      <c r="D23" s="3">
        <v>35</v>
      </c>
      <c r="E23" s="3">
        <f>'Aug 2023'!E23+'Sep 2023'!D23</f>
        <v>36.53</v>
      </c>
      <c r="F23" s="3">
        <v>31</v>
      </c>
      <c r="G23" s="3">
        <f>'Aug 2023'!G23+'Sep 2023'!F23</f>
        <v>31</v>
      </c>
      <c r="H23" s="3">
        <f t="shared" si="0"/>
        <v>436.16999999999996</v>
      </c>
      <c r="I23" s="3">
        <f>'Aug 2023'!N23</f>
        <v>144.78499999999997</v>
      </c>
      <c r="J23" s="3">
        <v>1.92</v>
      </c>
      <c r="K23" s="3">
        <f>'Aug 2023'!K23+'Sep 2023'!J23</f>
        <v>7.15</v>
      </c>
      <c r="L23" s="3">
        <v>0</v>
      </c>
      <c r="M23" s="3">
        <f>'Aug 2023'!M23+'Sep 2023'!L23</f>
        <v>0</v>
      </c>
      <c r="N23" s="3">
        <f t="shared" si="1"/>
        <v>146.70499999999996</v>
      </c>
      <c r="O23" s="3">
        <f>'Aug 2023'!T23</f>
        <v>22.5</v>
      </c>
      <c r="P23" s="3">
        <v>0</v>
      </c>
      <c r="Q23" s="3">
        <f>'Aug 2023'!Q23+'Sep 2023'!P23</f>
        <v>0</v>
      </c>
      <c r="R23" s="3">
        <v>0</v>
      </c>
      <c r="S23" s="3">
        <f>'Aug 2023'!S23+'Sep 2023'!R23</f>
        <v>0</v>
      </c>
      <c r="T23" s="3">
        <f t="shared" si="2"/>
        <v>22.5</v>
      </c>
      <c r="U23" s="3">
        <f t="shared" si="3"/>
        <v>605.37499999999989</v>
      </c>
      <c r="W23" s="90"/>
    </row>
    <row r="24" spans="1:23" s="4" customFormat="1" ht="38.25" customHeight="1">
      <c r="A24" s="34"/>
      <c r="B24" s="37" t="s">
        <v>30</v>
      </c>
      <c r="C24" s="5">
        <f>'Aug 2023'!H24</f>
        <v>1063.23</v>
      </c>
      <c r="D24" s="5">
        <f t="shared" ref="D24:U24" si="7">SUM(D20:D23)</f>
        <v>35</v>
      </c>
      <c r="E24" s="5">
        <f t="shared" si="7"/>
        <v>36.53</v>
      </c>
      <c r="F24" s="5">
        <f t="shared" si="7"/>
        <v>31</v>
      </c>
      <c r="G24" s="5">
        <f t="shared" si="7"/>
        <v>31.87</v>
      </c>
      <c r="H24" s="5">
        <f t="shared" si="7"/>
        <v>1067.23</v>
      </c>
      <c r="I24" s="5">
        <f>'Aug 2023'!N24</f>
        <v>2074.5</v>
      </c>
      <c r="J24" s="5">
        <f t="shared" si="7"/>
        <v>10.08</v>
      </c>
      <c r="K24" s="5">
        <f t="shared" si="7"/>
        <v>37.010000000000005</v>
      </c>
      <c r="L24" s="5">
        <f t="shared" si="7"/>
        <v>0</v>
      </c>
      <c r="M24" s="5">
        <f t="shared" si="7"/>
        <v>0.04</v>
      </c>
      <c r="N24" s="5">
        <f t="shared" si="7"/>
        <v>2084.5800000000004</v>
      </c>
      <c r="O24" s="5">
        <f>'Aug 2023'!T24</f>
        <v>63.330000000000005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16.239999999999998</v>
      </c>
      <c r="T24" s="5">
        <f t="shared" si="7"/>
        <v>63.330000000000005</v>
      </c>
      <c r="U24" s="5">
        <f t="shared" si="7"/>
        <v>3215.1400000000003</v>
      </c>
    </row>
    <row r="25" spans="1:23" s="4" customFormat="1" ht="38.25" customHeight="1">
      <c r="A25" s="34"/>
      <c r="B25" s="37" t="s">
        <v>31</v>
      </c>
      <c r="C25" s="5">
        <f>'Aug 2023'!H25</f>
        <v>3948.0859999999993</v>
      </c>
      <c r="D25" s="5">
        <f t="shared" ref="D25:U25" si="8">D24+D19+D15+D11</f>
        <v>35.700000000000003</v>
      </c>
      <c r="E25" s="5">
        <f t="shared" si="8"/>
        <v>46.38</v>
      </c>
      <c r="F25" s="5">
        <f t="shared" si="8"/>
        <v>31</v>
      </c>
      <c r="G25" s="5">
        <f t="shared" si="8"/>
        <v>38.450000000000003</v>
      </c>
      <c r="H25" s="5">
        <f t="shared" si="8"/>
        <v>3952.7859999999996</v>
      </c>
      <c r="I25" s="5">
        <f>'Aug 2023'!N25</f>
        <v>9159.1980000000003</v>
      </c>
      <c r="J25" s="5">
        <f t="shared" si="8"/>
        <v>35.545000000000002</v>
      </c>
      <c r="K25" s="5">
        <f t="shared" si="8"/>
        <v>257.923</v>
      </c>
      <c r="L25" s="5">
        <f t="shared" si="8"/>
        <v>0</v>
      </c>
      <c r="M25" s="5">
        <f t="shared" si="8"/>
        <v>0.47</v>
      </c>
      <c r="N25" s="5">
        <f t="shared" si="8"/>
        <v>9194.7430000000004</v>
      </c>
      <c r="O25" s="5">
        <f>'Aug 2023'!T25</f>
        <v>466.00800000000004</v>
      </c>
      <c r="P25" s="5">
        <f t="shared" si="8"/>
        <v>0</v>
      </c>
      <c r="Q25" s="5">
        <f t="shared" si="8"/>
        <v>1.3</v>
      </c>
      <c r="R25" s="5">
        <f t="shared" si="8"/>
        <v>0.74</v>
      </c>
      <c r="S25" s="5">
        <f t="shared" si="8"/>
        <v>82.039999999999992</v>
      </c>
      <c r="T25" s="5">
        <f t="shared" si="8"/>
        <v>465.26800000000009</v>
      </c>
      <c r="U25" s="5">
        <f t="shared" si="8"/>
        <v>13612.797</v>
      </c>
    </row>
    <row r="26" spans="1:23" ht="38.25" customHeight="1">
      <c r="A26" s="35">
        <v>15</v>
      </c>
      <c r="B26" s="38" t="s">
        <v>32</v>
      </c>
      <c r="C26" s="3">
        <f>'Aug 2023'!H26</f>
        <v>1654.3300000000002</v>
      </c>
      <c r="D26" s="3">
        <v>7.46</v>
      </c>
      <c r="E26" s="3">
        <f>'Aug 2023'!E26+'Sep 2023'!D26</f>
        <v>33.5</v>
      </c>
      <c r="F26" s="3">
        <v>0</v>
      </c>
      <c r="G26" s="3">
        <f>'Aug 2023'!G26+'Sep 2023'!F26</f>
        <v>0</v>
      </c>
      <c r="H26" s="3">
        <f t="shared" si="0"/>
        <v>1661.7900000000002</v>
      </c>
      <c r="I26" s="3">
        <f>'Aug 2023'!N26</f>
        <v>122.7</v>
      </c>
      <c r="J26" s="3">
        <v>0.12</v>
      </c>
      <c r="K26" s="3">
        <f>'Aug 2023'!K26+'Sep 2023'!J26</f>
        <v>1.27</v>
      </c>
      <c r="L26" s="3">
        <v>0</v>
      </c>
      <c r="M26" s="3">
        <f>'Aug 2023'!M26+'Sep 2023'!L26</f>
        <v>0</v>
      </c>
      <c r="N26" s="3">
        <f t="shared" si="1"/>
        <v>122.82000000000001</v>
      </c>
      <c r="O26" s="3">
        <f>'Aug 2023'!T26</f>
        <v>16.489999999999998</v>
      </c>
      <c r="P26" s="3">
        <v>0</v>
      </c>
      <c r="Q26" s="3">
        <f>'Aug 2023'!Q26+'Sep 2023'!P26</f>
        <v>0.12</v>
      </c>
      <c r="R26" s="3">
        <v>0</v>
      </c>
      <c r="S26" s="3">
        <f>'Aug 2023'!S26+'Sep 2023'!R26</f>
        <v>0</v>
      </c>
      <c r="T26" s="3">
        <f t="shared" si="2"/>
        <v>16.489999999999998</v>
      </c>
      <c r="U26" s="3">
        <f t="shared" si="3"/>
        <v>1801.1000000000001</v>
      </c>
    </row>
    <row r="27" spans="1:23" s="4" customFormat="1" ht="38.25" customHeight="1">
      <c r="A27" s="35">
        <v>16</v>
      </c>
      <c r="B27" s="38" t="s">
        <v>33</v>
      </c>
      <c r="C27" s="3">
        <f>'Aug 2023'!H27</f>
        <v>5723.8850000000039</v>
      </c>
      <c r="D27" s="3">
        <v>3.77</v>
      </c>
      <c r="E27" s="3">
        <f>'Aug 2023'!E27+'Sep 2023'!D27</f>
        <v>42.300000000000004</v>
      </c>
      <c r="F27" s="3">
        <v>0</v>
      </c>
      <c r="G27" s="3">
        <f>'Aug 2023'!G27+'Sep 2023'!F27</f>
        <v>0.02</v>
      </c>
      <c r="H27" s="3">
        <f t="shared" si="0"/>
        <v>5727.6550000000043</v>
      </c>
      <c r="I27" s="3">
        <f>'Aug 2023'!N27</f>
        <v>643.7879999999999</v>
      </c>
      <c r="J27" s="3">
        <v>1.78</v>
      </c>
      <c r="K27" s="3">
        <f>'Aug 2023'!K27+'Sep 2023'!J27</f>
        <v>11.409999999999998</v>
      </c>
      <c r="L27" s="3">
        <v>0</v>
      </c>
      <c r="M27" s="3">
        <f>'Aug 2023'!M27+'Sep 2023'!L27</f>
        <v>0.02</v>
      </c>
      <c r="N27" s="3">
        <f t="shared" si="1"/>
        <v>645.56799999999987</v>
      </c>
      <c r="O27" s="3">
        <f>'Aug 2023'!T27</f>
        <v>33.85</v>
      </c>
      <c r="P27" s="3">
        <v>0.78</v>
      </c>
      <c r="Q27" s="3">
        <f>'Aug 2023'!Q27+'Sep 2023'!P27</f>
        <v>0.83000000000000007</v>
      </c>
      <c r="R27" s="3">
        <v>0</v>
      </c>
      <c r="S27" s="3">
        <f>'Aug 2023'!S27+'Sep 2023'!R27</f>
        <v>0</v>
      </c>
      <c r="T27" s="3">
        <f t="shared" si="2"/>
        <v>34.630000000000003</v>
      </c>
      <c r="U27" s="3">
        <f t="shared" si="3"/>
        <v>6407.8530000000046</v>
      </c>
    </row>
    <row r="28" spans="1:23" s="4" customFormat="1" ht="38.25" customHeight="1">
      <c r="A28" s="34"/>
      <c r="B28" s="37" t="s">
        <v>34</v>
      </c>
      <c r="C28" s="5">
        <f>'Aug 2023'!H28</f>
        <v>7378.2150000000038</v>
      </c>
      <c r="D28" s="5">
        <f t="shared" ref="D28:U28" si="9">SUM(D26:D27)</f>
        <v>11.23</v>
      </c>
      <c r="E28" s="5">
        <f t="shared" si="9"/>
        <v>75.800000000000011</v>
      </c>
      <c r="F28" s="5">
        <f t="shared" si="9"/>
        <v>0</v>
      </c>
      <c r="G28" s="5">
        <f t="shared" si="9"/>
        <v>0.02</v>
      </c>
      <c r="H28" s="5">
        <f t="shared" si="9"/>
        <v>7389.4450000000043</v>
      </c>
      <c r="I28" s="5">
        <f>'Aug 2023'!N28</f>
        <v>766.48799999999994</v>
      </c>
      <c r="J28" s="5">
        <f t="shared" si="9"/>
        <v>1.9</v>
      </c>
      <c r="K28" s="5">
        <f t="shared" si="9"/>
        <v>12.679999999999998</v>
      </c>
      <c r="L28" s="5">
        <f t="shared" si="9"/>
        <v>0</v>
      </c>
      <c r="M28" s="5">
        <f t="shared" si="9"/>
        <v>0.02</v>
      </c>
      <c r="N28" s="5">
        <f t="shared" si="9"/>
        <v>768.38799999999992</v>
      </c>
      <c r="O28" s="5">
        <f>'Aug 2023'!T28</f>
        <v>50.34</v>
      </c>
      <c r="P28" s="5">
        <f t="shared" si="9"/>
        <v>0.78</v>
      </c>
      <c r="Q28" s="5">
        <f t="shared" si="9"/>
        <v>0.95000000000000007</v>
      </c>
      <c r="R28" s="5">
        <f t="shared" si="9"/>
        <v>0</v>
      </c>
      <c r="S28" s="5">
        <f t="shared" si="9"/>
        <v>0</v>
      </c>
      <c r="T28" s="5">
        <f t="shared" si="9"/>
        <v>51.120000000000005</v>
      </c>
      <c r="U28" s="5">
        <f t="shared" si="9"/>
        <v>8208.953000000005</v>
      </c>
    </row>
    <row r="29" spans="1:23" ht="38.25" customHeight="1">
      <c r="A29" s="35">
        <v>17</v>
      </c>
      <c r="B29" s="38" t="s">
        <v>35</v>
      </c>
      <c r="C29" s="3">
        <f>'Aug 2023'!H29</f>
        <v>5014.7080000000005</v>
      </c>
      <c r="D29" s="3">
        <v>1.72</v>
      </c>
      <c r="E29" s="3">
        <f>'Aug 2023'!E29+'Sep 2023'!D29</f>
        <v>135.39000000000001</v>
      </c>
      <c r="F29" s="3">
        <v>0</v>
      </c>
      <c r="G29" s="3">
        <f>'Aug 2023'!G29+'Sep 2023'!F29</f>
        <v>0</v>
      </c>
      <c r="H29" s="3">
        <f t="shared" si="0"/>
        <v>5016.4280000000008</v>
      </c>
      <c r="I29" s="3">
        <f>'Aug 2023'!N29</f>
        <v>123.01000000000002</v>
      </c>
      <c r="J29" s="3">
        <v>0.05</v>
      </c>
      <c r="K29" s="3">
        <f>'Aug 2023'!K29+'Sep 2023'!J29</f>
        <v>1.53</v>
      </c>
      <c r="L29" s="3">
        <v>0</v>
      </c>
      <c r="M29" s="3">
        <f>'Aug 2023'!M29+'Sep 2023'!L29</f>
        <v>0</v>
      </c>
      <c r="N29" s="3">
        <f t="shared" si="1"/>
        <v>123.06000000000002</v>
      </c>
      <c r="O29" s="3">
        <f>'Aug 2023'!T29</f>
        <v>34.52000000000001</v>
      </c>
      <c r="P29" s="3">
        <v>0</v>
      </c>
      <c r="Q29" s="3">
        <f>'Aug 2023'!Q29+'Sep 2023'!P29</f>
        <v>0</v>
      </c>
      <c r="R29" s="3">
        <v>0</v>
      </c>
      <c r="S29" s="3">
        <f>'Aug 2023'!S29+'Sep 2023'!R29</f>
        <v>0</v>
      </c>
      <c r="T29" s="3">
        <f t="shared" si="2"/>
        <v>34.52000000000001</v>
      </c>
      <c r="U29" s="3">
        <f t="shared" si="3"/>
        <v>5174.0080000000016</v>
      </c>
      <c r="W29" s="89"/>
    </row>
    <row r="30" spans="1:23" ht="54.75" customHeight="1">
      <c r="A30" s="35">
        <v>18</v>
      </c>
      <c r="B30" s="38" t="s">
        <v>36</v>
      </c>
      <c r="C30" s="3">
        <f>'Aug 2023'!H30</f>
        <v>3738.7999999999993</v>
      </c>
      <c r="D30" s="3">
        <v>5.96</v>
      </c>
      <c r="E30" s="3">
        <f>'Aug 2023'!E30+'Sep 2023'!D30</f>
        <v>42.610000000000007</v>
      </c>
      <c r="F30" s="3">
        <v>0</v>
      </c>
      <c r="G30" s="3">
        <f>'Aug 2023'!G30+'Sep 2023'!F30</f>
        <v>0</v>
      </c>
      <c r="H30" s="3">
        <f t="shared" si="0"/>
        <v>3744.7599999999993</v>
      </c>
      <c r="I30" s="3">
        <f>'Aug 2023'!N30</f>
        <v>232.36699999999999</v>
      </c>
      <c r="J30" s="3">
        <v>0</v>
      </c>
      <c r="K30" s="3">
        <f>'Aug 2023'!K30+'Sep 2023'!J30</f>
        <v>33.78</v>
      </c>
      <c r="L30" s="3">
        <v>0</v>
      </c>
      <c r="M30" s="3">
        <f>'Aug 2023'!M30+'Sep 2023'!L30</f>
        <v>0</v>
      </c>
      <c r="N30" s="3">
        <f t="shared" si="1"/>
        <v>232.36699999999999</v>
      </c>
      <c r="O30" s="3">
        <f>'Aug 2023'!T30</f>
        <v>23.25</v>
      </c>
      <c r="P30" s="3">
        <v>0</v>
      </c>
      <c r="Q30" s="3">
        <f>'Aug 2023'!Q30+'Sep 2023'!P30</f>
        <v>0</v>
      </c>
      <c r="R30" s="3">
        <v>0</v>
      </c>
      <c r="S30" s="3">
        <f>'Aug 2023'!S30+'Sep 2023'!R30</f>
        <v>0</v>
      </c>
      <c r="T30" s="3">
        <f t="shared" si="2"/>
        <v>23.25</v>
      </c>
      <c r="U30" s="3">
        <f t="shared" si="3"/>
        <v>4000.3769999999995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'Aug 2023'!H31</f>
        <v>4710.9040000000014</v>
      </c>
      <c r="D31" s="3">
        <v>0.64800000000000002</v>
      </c>
      <c r="E31" s="3">
        <f>'Aug 2023'!E31+'Sep 2023'!D31</f>
        <v>9.0599999999999987</v>
      </c>
      <c r="F31" s="3">
        <v>0</v>
      </c>
      <c r="G31" s="3">
        <f>'Aug 2023'!G31+'Sep 2023'!F31</f>
        <v>0</v>
      </c>
      <c r="H31" s="3">
        <f t="shared" si="0"/>
        <v>4711.5520000000015</v>
      </c>
      <c r="I31" s="3">
        <f>'Aug 2023'!N31</f>
        <v>107.89500000000002</v>
      </c>
      <c r="J31" s="3">
        <v>0</v>
      </c>
      <c r="K31" s="3">
        <f>'Aug 2023'!K31+'Sep 2023'!J31</f>
        <v>0.20499999999999999</v>
      </c>
      <c r="L31" s="3">
        <v>0</v>
      </c>
      <c r="M31" s="3">
        <f>'Aug 2023'!M31+'Sep 2023'!L31</f>
        <v>0</v>
      </c>
      <c r="N31" s="3">
        <f t="shared" si="1"/>
        <v>107.89500000000002</v>
      </c>
      <c r="O31" s="3">
        <f>'Aug 2023'!T31</f>
        <v>14.850000000000001</v>
      </c>
      <c r="P31" s="3">
        <v>0</v>
      </c>
      <c r="Q31" s="3">
        <f>'Aug 2023'!Q31+'Sep 2023'!P31</f>
        <v>0</v>
      </c>
      <c r="R31" s="3">
        <v>0</v>
      </c>
      <c r="S31" s="3">
        <f>'Aug 2023'!S31+'Sep 2023'!R31</f>
        <v>0</v>
      </c>
      <c r="T31" s="3">
        <f t="shared" si="2"/>
        <v>14.850000000000001</v>
      </c>
      <c r="U31" s="3">
        <f t="shared" si="3"/>
        <v>4834.2970000000023</v>
      </c>
      <c r="W31" s="89"/>
    </row>
    <row r="32" spans="1:23" ht="70.5" customHeight="1">
      <c r="A32" s="35">
        <v>20</v>
      </c>
      <c r="B32" s="38" t="s">
        <v>38</v>
      </c>
      <c r="C32" s="3">
        <f>'Aug 2023'!H32</f>
        <v>2378.755799999999</v>
      </c>
      <c r="D32" s="3">
        <v>2.17</v>
      </c>
      <c r="E32" s="3">
        <f>'Aug 2023'!E32+'Sep 2023'!D32</f>
        <v>16.63</v>
      </c>
      <c r="F32" s="3">
        <v>0</v>
      </c>
      <c r="G32" s="3">
        <f>'Aug 2023'!G32+'Sep 2023'!F32</f>
        <v>9.73</v>
      </c>
      <c r="H32" s="3">
        <f t="shared" si="0"/>
        <v>2380.9257999999991</v>
      </c>
      <c r="I32" s="3">
        <f>'Aug 2023'!N32</f>
        <v>107.68400000000003</v>
      </c>
      <c r="J32" s="3">
        <v>1.7</v>
      </c>
      <c r="K32" s="3">
        <f>'Aug 2023'!K32+'Sep 2023'!J32</f>
        <v>16.207999999999998</v>
      </c>
      <c r="L32" s="3">
        <v>0</v>
      </c>
      <c r="M32" s="3">
        <f>'Aug 2023'!M32+'Sep 2023'!L32</f>
        <v>0</v>
      </c>
      <c r="N32" s="3">
        <f t="shared" si="1"/>
        <v>109.38400000000003</v>
      </c>
      <c r="O32" s="3">
        <f>'Aug 2023'!T32</f>
        <v>67.551999999999992</v>
      </c>
      <c r="P32" s="3">
        <v>0</v>
      </c>
      <c r="Q32" s="3">
        <f>'Aug 2023'!Q32+'Sep 2023'!P32</f>
        <v>0</v>
      </c>
      <c r="R32" s="3">
        <v>0</v>
      </c>
      <c r="S32" s="3">
        <f>'Aug 2023'!S32+'Sep 2023'!R32</f>
        <v>0</v>
      </c>
      <c r="T32" s="3">
        <f t="shared" si="2"/>
        <v>67.551999999999992</v>
      </c>
      <c r="U32" s="3">
        <f t="shared" si="3"/>
        <v>2557.8617999999992</v>
      </c>
      <c r="W32" s="89"/>
    </row>
    <row r="33" spans="1:23" s="4" customFormat="1" ht="38.25" customHeight="1">
      <c r="A33" s="34"/>
      <c r="B33" s="37" t="s">
        <v>39</v>
      </c>
      <c r="C33" s="5">
        <f>'Aug 2023'!H33</f>
        <v>15843.167799999999</v>
      </c>
      <c r="D33" s="5">
        <f t="shared" ref="D33:U33" si="10">SUM(D29:D32)</f>
        <v>10.497999999999999</v>
      </c>
      <c r="E33" s="5">
        <f t="shared" si="10"/>
        <v>203.69000000000003</v>
      </c>
      <c r="F33" s="5">
        <f t="shared" si="10"/>
        <v>0</v>
      </c>
      <c r="G33" s="5">
        <f t="shared" si="10"/>
        <v>9.73</v>
      </c>
      <c r="H33" s="5">
        <f t="shared" si="10"/>
        <v>15853.665800000001</v>
      </c>
      <c r="I33" s="5">
        <f>'Aug 2023'!N33</f>
        <v>570.95600000000013</v>
      </c>
      <c r="J33" s="5">
        <f t="shared" si="10"/>
        <v>1.75</v>
      </c>
      <c r="K33" s="5">
        <f t="shared" si="10"/>
        <v>51.722999999999999</v>
      </c>
      <c r="L33" s="5">
        <f t="shared" si="10"/>
        <v>0</v>
      </c>
      <c r="M33" s="5">
        <f t="shared" si="10"/>
        <v>0</v>
      </c>
      <c r="N33" s="5">
        <f t="shared" si="10"/>
        <v>572.70600000000013</v>
      </c>
      <c r="O33" s="5">
        <f>'Aug 2023'!T33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16566.543800000003</v>
      </c>
    </row>
    <row r="34" spans="1:23" ht="38.25" customHeight="1">
      <c r="A34" s="35">
        <v>21</v>
      </c>
      <c r="B34" s="38" t="s">
        <v>40</v>
      </c>
      <c r="C34" s="3">
        <f>'Aug 2023'!H34</f>
        <v>5404.7899999999991</v>
      </c>
      <c r="D34" s="3">
        <f>2.05+159.25</f>
        <v>161.30000000000001</v>
      </c>
      <c r="E34" s="3">
        <f>'Aug 2023'!E34+'Sep 2023'!D34</f>
        <v>982.06</v>
      </c>
      <c r="F34" s="3">
        <v>0</v>
      </c>
      <c r="G34" s="3">
        <f>'Aug 2023'!G34+'Sep 2023'!F34</f>
        <v>2.72</v>
      </c>
      <c r="H34" s="3">
        <f t="shared" si="0"/>
        <v>5566.0899999999992</v>
      </c>
      <c r="I34" s="3">
        <f>'Aug 2023'!N34</f>
        <v>116.16999999999999</v>
      </c>
      <c r="J34" s="3">
        <v>0</v>
      </c>
      <c r="K34" s="3">
        <f>'Aug 2023'!K34+'Sep 2023'!J34</f>
        <v>8.09</v>
      </c>
      <c r="L34" s="3">
        <v>0</v>
      </c>
      <c r="M34" s="3">
        <f>'Aug 2023'!M34+'Sep 2023'!L34</f>
        <v>0</v>
      </c>
      <c r="N34" s="3">
        <f t="shared" si="1"/>
        <v>116.16999999999999</v>
      </c>
      <c r="O34" s="3">
        <f>'Aug 2023'!T34</f>
        <v>72.7</v>
      </c>
      <c r="P34" s="3">
        <v>0</v>
      </c>
      <c r="Q34" s="3">
        <f>'Aug 2023'!Q34+'Sep 2023'!P34</f>
        <v>0</v>
      </c>
      <c r="R34" s="3">
        <v>0</v>
      </c>
      <c r="S34" s="3">
        <f>'Aug 2023'!S34+'Sep 2023'!R34</f>
        <v>0</v>
      </c>
      <c r="T34" s="3">
        <f t="shared" si="2"/>
        <v>72.7</v>
      </c>
      <c r="U34" s="3">
        <f t="shared" si="3"/>
        <v>5754.9599999999991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'Aug 2023'!H35</f>
        <v>6832.9199999999973</v>
      </c>
      <c r="D35" s="3">
        <f>6.26+12.62+9</f>
        <v>27.88</v>
      </c>
      <c r="E35" s="3">
        <f>'Aug 2023'!E35+'Sep 2023'!D35</f>
        <v>177.18</v>
      </c>
      <c r="F35" s="3">
        <v>0</v>
      </c>
      <c r="G35" s="3">
        <f>'Aug 2023'!G35+'Sep 2023'!F35</f>
        <v>0</v>
      </c>
      <c r="H35" s="3">
        <f t="shared" si="0"/>
        <v>6860.7999999999975</v>
      </c>
      <c r="I35" s="3">
        <f>'Aug 2023'!N35</f>
        <v>34.17</v>
      </c>
      <c r="J35" s="3">
        <v>0</v>
      </c>
      <c r="K35" s="3">
        <f>'Aug 2023'!K35+'Sep 2023'!J35</f>
        <v>0.04</v>
      </c>
      <c r="L35" s="3">
        <v>0</v>
      </c>
      <c r="M35" s="3">
        <f>'Aug 2023'!M35+'Sep 2023'!L35</f>
        <v>0</v>
      </c>
      <c r="N35" s="3">
        <f t="shared" si="1"/>
        <v>34.17</v>
      </c>
      <c r="O35" s="3">
        <f>'Aug 2023'!T35</f>
        <v>90.800000000000011</v>
      </c>
      <c r="P35" s="3">
        <v>0</v>
      </c>
      <c r="Q35" s="3">
        <f>'Aug 2023'!Q35+'Sep 2023'!P35</f>
        <v>0</v>
      </c>
      <c r="R35" s="3">
        <v>0</v>
      </c>
      <c r="S35" s="3">
        <f>'Aug 2023'!S35+'Sep 2023'!R35</f>
        <v>0</v>
      </c>
      <c r="T35" s="3">
        <f t="shared" si="2"/>
        <v>90.800000000000011</v>
      </c>
      <c r="U35" s="3">
        <f t="shared" si="3"/>
        <v>6985.7699999999977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'Aug 2023'!H36</f>
        <v>6213.67</v>
      </c>
      <c r="D36" s="3">
        <f>17.75+489.65</f>
        <v>507.4</v>
      </c>
      <c r="E36" s="3">
        <f>'Aug 2023'!E36+'Sep 2023'!D36</f>
        <v>3023.4100000000003</v>
      </c>
      <c r="F36" s="3">
        <v>0</v>
      </c>
      <c r="G36" s="3">
        <f>'Aug 2023'!G36+'Sep 2023'!F36</f>
        <v>0</v>
      </c>
      <c r="H36" s="3">
        <f t="shared" si="0"/>
        <v>6721.07</v>
      </c>
      <c r="I36" s="3">
        <f>'Aug 2023'!N36</f>
        <v>30.250000000000039</v>
      </c>
      <c r="J36" s="3">
        <v>0.28000000000000003</v>
      </c>
      <c r="K36" s="3">
        <f>'Aug 2023'!K36+'Sep 2023'!J36</f>
        <v>0.28000000000000003</v>
      </c>
      <c r="L36" s="3">
        <v>0</v>
      </c>
      <c r="M36" s="3">
        <f>'Aug 2023'!M36+'Sep 2023'!L36</f>
        <v>0</v>
      </c>
      <c r="N36" s="3">
        <f t="shared" si="1"/>
        <v>30.53000000000004</v>
      </c>
      <c r="O36" s="3">
        <f>'Aug 2023'!T36</f>
        <v>36.379999999999995</v>
      </c>
      <c r="P36" s="3">
        <v>0</v>
      </c>
      <c r="Q36" s="3">
        <f>'Aug 2023'!Q36+'Sep 2023'!P36</f>
        <v>0</v>
      </c>
      <c r="R36" s="3">
        <v>0</v>
      </c>
      <c r="S36" s="3">
        <f>'Aug 2023'!S36+'Sep 2023'!R36</f>
        <v>0</v>
      </c>
      <c r="T36" s="3">
        <f t="shared" si="2"/>
        <v>36.379999999999995</v>
      </c>
      <c r="U36" s="3">
        <f t="shared" si="3"/>
        <v>6787.98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'Aug 2023'!H37</f>
        <v>5163.5899999999992</v>
      </c>
      <c r="D37" s="3">
        <f>1+31.5</f>
        <v>32.5</v>
      </c>
      <c r="E37" s="3">
        <f>'Aug 2023'!E37+'Sep 2023'!D37</f>
        <v>101.58</v>
      </c>
      <c r="F37" s="3">
        <v>0</v>
      </c>
      <c r="G37" s="3">
        <f>'Aug 2023'!G37+'Sep 2023'!F37</f>
        <v>0</v>
      </c>
      <c r="H37" s="3">
        <f t="shared" si="0"/>
        <v>5196.0899999999992</v>
      </c>
      <c r="I37" s="3">
        <f>'Aug 2023'!N37</f>
        <v>26.700000000000003</v>
      </c>
      <c r="J37" s="3">
        <v>0</v>
      </c>
      <c r="K37" s="3">
        <f>'Aug 2023'!K37+'Sep 2023'!J37</f>
        <v>0</v>
      </c>
      <c r="L37" s="3">
        <v>0</v>
      </c>
      <c r="M37" s="3">
        <f>'Aug 2023'!M37+'Sep 2023'!L37</f>
        <v>0</v>
      </c>
      <c r="N37" s="3">
        <f t="shared" si="1"/>
        <v>26.700000000000003</v>
      </c>
      <c r="O37" s="3">
        <f>'Aug 2023'!T37</f>
        <v>3.0599999999999996</v>
      </c>
      <c r="P37" s="3">
        <v>0</v>
      </c>
      <c r="Q37" s="3">
        <f>'Aug 2023'!Q37+'Sep 2023'!P37</f>
        <v>0</v>
      </c>
      <c r="R37" s="3">
        <v>0</v>
      </c>
      <c r="S37" s="3">
        <f>'Aug 2023'!S37+'Sep 2023'!R37</f>
        <v>0</v>
      </c>
      <c r="T37" s="3">
        <f t="shared" si="2"/>
        <v>3.0599999999999996</v>
      </c>
      <c r="U37" s="3">
        <f t="shared" si="3"/>
        <v>5225.8499999999995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'Aug 2023'!H38</f>
        <v>23614.969999999998</v>
      </c>
      <c r="D38" s="5">
        <f t="shared" ref="D38:U38" si="11">SUM(D34:D37)</f>
        <v>729.07999999999993</v>
      </c>
      <c r="E38" s="5">
        <f t="shared" si="11"/>
        <v>4284.2300000000005</v>
      </c>
      <c r="F38" s="5">
        <f t="shared" si="11"/>
        <v>0</v>
      </c>
      <c r="G38" s="5">
        <f t="shared" si="11"/>
        <v>2.72</v>
      </c>
      <c r="H38" s="5">
        <f t="shared" si="11"/>
        <v>24344.049999999996</v>
      </c>
      <c r="I38" s="5">
        <f>'Aug 2023'!N38</f>
        <v>207.29000000000002</v>
      </c>
      <c r="J38" s="5">
        <f t="shared" si="11"/>
        <v>0.28000000000000003</v>
      </c>
      <c r="K38" s="5">
        <f t="shared" si="11"/>
        <v>8.4099999999999984</v>
      </c>
      <c r="L38" s="5">
        <f t="shared" si="11"/>
        <v>0</v>
      </c>
      <c r="M38" s="5">
        <f t="shared" si="11"/>
        <v>0</v>
      </c>
      <c r="N38" s="5">
        <f t="shared" si="11"/>
        <v>207.57</v>
      </c>
      <c r="O38" s="5">
        <f>'Aug 2023'!T38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24754.559999999994</v>
      </c>
    </row>
    <row r="39" spans="1:23" s="4" customFormat="1" ht="38.25" customHeight="1">
      <c r="A39" s="34"/>
      <c r="B39" s="37" t="s">
        <v>45</v>
      </c>
      <c r="C39" s="5">
        <f>'Aug 2023'!H39</f>
        <v>46836.352800000001</v>
      </c>
      <c r="D39" s="5">
        <f t="shared" ref="D39:U39" si="12">D38+D33+D28</f>
        <v>750.80799999999999</v>
      </c>
      <c r="E39" s="5">
        <f t="shared" si="12"/>
        <v>4563.72</v>
      </c>
      <c r="F39" s="5">
        <f t="shared" si="12"/>
        <v>0</v>
      </c>
      <c r="G39" s="5">
        <f t="shared" si="12"/>
        <v>12.47</v>
      </c>
      <c r="H39" s="5">
        <f t="shared" si="12"/>
        <v>47587.160800000005</v>
      </c>
      <c r="I39" s="5">
        <f>'Aug 2023'!N39</f>
        <v>1544.7339999999999</v>
      </c>
      <c r="J39" s="5">
        <f t="shared" si="12"/>
        <v>3.93</v>
      </c>
      <c r="K39" s="5">
        <f t="shared" si="12"/>
        <v>72.812999999999988</v>
      </c>
      <c r="L39" s="5">
        <f t="shared" si="12"/>
        <v>0</v>
      </c>
      <c r="M39" s="5">
        <f t="shared" si="12"/>
        <v>0.02</v>
      </c>
      <c r="N39" s="5">
        <f t="shared" si="12"/>
        <v>1548.664</v>
      </c>
      <c r="O39" s="5">
        <f>'Aug 2023'!T39</f>
        <v>393.452</v>
      </c>
      <c r="P39" s="5">
        <f t="shared" si="12"/>
        <v>0.78</v>
      </c>
      <c r="Q39" s="5">
        <f t="shared" si="12"/>
        <v>0.95000000000000007</v>
      </c>
      <c r="R39" s="5">
        <f t="shared" si="12"/>
        <v>0</v>
      </c>
      <c r="S39" s="5">
        <f t="shared" si="12"/>
        <v>0</v>
      </c>
      <c r="T39" s="5">
        <f t="shared" si="12"/>
        <v>394.23199999999997</v>
      </c>
      <c r="U39" s="5">
        <f t="shared" si="12"/>
        <v>49530.056800000006</v>
      </c>
    </row>
    <row r="40" spans="1:23" ht="38.25" customHeight="1">
      <c r="A40" s="35">
        <v>25</v>
      </c>
      <c r="B40" s="38" t="s">
        <v>46</v>
      </c>
      <c r="C40" s="3">
        <f>'Aug 2023'!H40</f>
        <v>13080.923999999997</v>
      </c>
      <c r="D40" s="3">
        <f>12.02+232.46</f>
        <v>244.48000000000002</v>
      </c>
      <c r="E40" s="3">
        <f>'Aug 2023'!E40+'Sep 2023'!D40</f>
        <v>1467.7800000000002</v>
      </c>
      <c r="F40" s="3">
        <v>0</v>
      </c>
      <c r="G40" s="3">
        <f>'Aug 2023'!G40+'Sep 2023'!F40</f>
        <v>0</v>
      </c>
      <c r="H40" s="3">
        <f t="shared" si="0"/>
        <v>13325.403999999997</v>
      </c>
      <c r="I40" s="3">
        <f>'Aug 2023'!N40</f>
        <v>198.73</v>
      </c>
      <c r="J40" s="3">
        <v>0</v>
      </c>
      <c r="K40" s="3">
        <f>'Aug 2023'!K40+'Sep 2023'!J40</f>
        <v>0</v>
      </c>
      <c r="L40" s="3">
        <v>0</v>
      </c>
      <c r="M40" s="3">
        <f>'Aug 2023'!M40+'Sep 2023'!L40</f>
        <v>0</v>
      </c>
      <c r="N40" s="3">
        <f t="shared" si="1"/>
        <v>198.73</v>
      </c>
      <c r="O40" s="3">
        <f>'Aug 2023'!T40</f>
        <v>106.93</v>
      </c>
      <c r="P40" s="3">
        <v>0</v>
      </c>
      <c r="Q40" s="3">
        <f>'Aug 2023'!Q40+'Sep 2023'!P40</f>
        <v>0</v>
      </c>
      <c r="R40" s="3">
        <v>0</v>
      </c>
      <c r="S40" s="3">
        <f>'Aug 2023'!S40+'Sep 2023'!R40</f>
        <v>0</v>
      </c>
      <c r="T40" s="3">
        <f t="shared" si="2"/>
        <v>106.93</v>
      </c>
      <c r="U40" s="3">
        <f t="shared" si="3"/>
        <v>13631.063999999997</v>
      </c>
    </row>
    <row r="41" spans="1:23" ht="38.25" customHeight="1">
      <c r="A41" s="35">
        <v>26</v>
      </c>
      <c r="B41" s="38" t="s">
        <v>47</v>
      </c>
      <c r="C41" s="3">
        <f>'Aug 2023'!H41</f>
        <v>8788.5789999999943</v>
      </c>
      <c r="D41" s="3">
        <f>5.91+43.81</f>
        <v>49.72</v>
      </c>
      <c r="E41" s="3">
        <f>'Aug 2023'!E41+'Sep 2023'!D41</f>
        <v>390.9</v>
      </c>
      <c r="F41" s="3">
        <v>0</v>
      </c>
      <c r="G41" s="3">
        <f>'Aug 2023'!G41+'Sep 2023'!F41</f>
        <v>0</v>
      </c>
      <c r="H41" s="3">
        <f t="shared" si="0"/>
        <v>8838.2989999999936</v>
      </c>
      <c r="I41" s="3">
        <f>'Aug 2023'!N41</f>
        <v>8.67</v>
      </c>
      <c r="J41" s="3">
        <v>0</v>
      </c>
      <c r="K41" s="3">
        <f>'Aug 2023'!K41+'Sep 2023'!J41</f>
        <v>0</v>
      </c>
      <c r="L41" s="3">
        <v>0</v>
      </c>
      <c r="M41" s="3">
        <f>'Aug 2023'!M41+'Sep 2023'!L41</f>
        <v>0</v>
      </c>
      <c r="N41" s="3">
        <f t="shared" si="1"/>
        <v>8.67</v>
      </c>
      <c r="O41" s="3">
        <f>'Aug 2023'!T41</f>
        <v>141.29000000000002</v>
      </c>
      <c r="P41" s="3">
        <v>0</v>
      </c>
      <c r="Q41" s="3">
        <f>'Aug 2023'!Q41+'Sep 2023'!P41</f>
        <v>0</v>
      </c>
      <c r="R41" s="3">
        <v>0</v>
      </c>
      <c r="S41" s="3">
        <f>'Aug 2023'!S41+'Sep 2023'!R41</f>
        <v>0</v>
      </c>
      <c r="T41" s="3">
        <f t="shared" si="2"/>
        <v>141.29000000000002</v>
      </c>
      <c r="U41" s="3">
        <f t="shared" si="3"/>
        <v>8988.2589999999946</v>
      </c>
    </row>
    <row r="42" spans="1:23" s="4" customFormat="1" ht="38.25" customHeight="1">
      <c r="A42" s="35">
        <v>27</v>
      </c>
      <c r="B42" s="38" t="s">
        <v>48</v>
      </c>
      <c r="C42" s="3">
        <f>'Aug 2023'!H42</f>
        <v>15372.872999999996</v>
      </c>
      <c r="D42" s="3">
        <f>24.745+266.11</f>
        <v>290.85500000000002</v>
      </c>
      <c r="E42" s="3">
        <f>'Aug 2023'!E42+'Sep 2023'!D42</f>
        <v>1710.0550000000003</v>
      </c>
      <c r="F42" s="3">
        <v>0</v>
      </c>
      <c r="G42" s="3">
        <f>'Aug 2023'!G42+'Sep 2023'!F42</f>
        <v>0</v>
      </c>
      <c r="H42" s="3">
        <f t="shared" si="0"/>
        <v>15663.727999999996</v>
      </c>
      <c r="I42" s="3">
        <f>'Aug 2023'!N42</f>
        <v>15.62</v>
      </c>
      <c r="J42" s="3">
        <v>0</v>
      </c>
      <c r="K42" s="3">
        <f>'Aug 2023'!K42+'Sep 2023'!J42</f>
        <v>0</v>
      </c>
      <c r="L42" s="3">
        <v>0</v>
      </c>
      <c r="M42" s="3">
        <f>'Aug 2023'!M42+'Sep 2023'!L42</f>
        <v>0</v>
      </c>
      <c r="N42" s="3">
        <f t="shared" si="1"/>
        <v>15.62</v>
      </c>
      <c r="O42" s="3">
        <f>'Aug 2023'!T42</f>
        <v>205.35</v>
      </c>
      <c r="P42" s="3">
        <v>0</v>
      </c>
      <c r="Q42" s="3">
        <f>'Aug 2023'!Q42+'Sep 2023'!P42</f>
        <v>0</v>
      </c>
      <c r="R42" s="3">
        <v>0</v>
      </c>
      <c r="S42" s="3">
        <f>'Aug 2023'!S42+'Sep 2023'!R42</f>
        <v>0</v>
      </c>
      <c r="T42" s="3">
        <f t="shared" si="2"/>
        <v>205.35</v>
      </c>
      <c r="U42" s="3">
        <f t="shared" si="3"/>
        <v>15884.697999999997</v>
      </c>
    </row>
    <row r="43" spans="1:23" ht="38.25" customHeight="1">
      <c r="A43" s="35">
        <v>28</v>
      </c>
      <c r="B43" s="38" t="s">
        <v>49</v>
      </c>
      <c r="C43" s="3">
        <f>'Aug 2023'!H43</f>
        <v>4521.6000000000013</v>
      </c>
      <c r="D43" s="3">
        <f>3.7+13.62+39.35</f>
        <v>56.67</v>
      </c>
      <c r="E43" s="3">
        <f>'Aug 2023'!E43+'Sep 2023'!D43</f>
        <v>376.31</v>
      </c>
      <c r="F43" s="3">
        <v>0</v>
      </c>
      <c r="G43" s="3">
        <f>'Aug 2023'!G43+'Sep 2023'!F43</f>
        <v>0</v>
      </c>
      <c r="H43" s="3">
        <f t="shared" si="0"/>
        <v>4578.2700000000013</v>
      </c>
      <c r="I43" s="3">
        <f>'Aug 2023'!N43</f>
        <v>3.5</v>
      </c>
      <c r="J43" s="3">
        <v>0</v>
      </c>
      <c r="K43" s="3">
        <f>'Aug 2023'!K43+'Sep 2023'!J43</f>
        <v>0</v>
      </c>
      <c r="L43" s="3">
        <v>0</v>
      </c>
      <c r="M43" s="3">
        <f>'Aug 2023'!M43+'Sep 2023'!L43</f>
        <v>0</v>
      </c>
      <c r="N43" s="3">
        <f t="shared" si="1"/>
        <v>3.5</v>
      </c>
      <c r="O43" s="3">
        <f>'Aug 2023'!T43</f>
        <v>29.8</v>
      </c>
      <c r="P43" s="3">
        <v>0</v>
      </c>
      <c r="Q43" s="3">
        <f>'Aug 2023'!Q43+'Sep 2023'!P43</f>
        <v>0</v>
      </c>
      <c r="R43" s="3">
        <v>0</v>
      </c>
      <c r="S43" s="3">
        <f>'Aug 2023'!S43+'Sep 2023'!R43</f>
        <v>0</v>
      </c>
      <c r="T43" s="3">
        <f t="shared" si="2"/>
        <v>29.8</v>
      </c>
      <c r="U43" s="3">
        <f t="shared" si="3"/>
        <v>4611.5700000000015</v>
      </c>
    </row>
    <row r="44" spans="1:23" s="4" customFormat="1" ht="38.25" customHeight="1">
      <c r="A44" s="34"/>
      <c r="B44" s="37" t="s">
        <v>50</v>
      </c>
      <c r="C44" s="5">
        <f>'Aug 2023'!H44</f>
        <v>41763.975999999988</v>
      </c>
      <c r="D44" s="5">
        <f t="shared" ref="D44:U44" si="13">SUM(D40:D43)</f>
        <v>641.72500000000002</v>
      </c>
      <c r="E44" s="5">
        <f t="shared" si="13"/>
        <v>3945.0450000000005</v>
      </c>
      <c r="F44" s="5">
        <f t="shared" si="13"/>
        <v>0</v>
      </c>
      <c r="G44" s="5">
        <f t="shared" si="13"/>
        <v>0</v>
      </c>
      <c r="H44" s="5">
        <f t="shared" si="13"/>
        <v>42405.700999999986</v>
      </c>
      <c r="I44" s="5">
        <f>'Aug 2023'!N44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'Aug 2023'!T44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43115.590999999986</v>
      </c>
    </row>
    <row r="45" spans="1:23" ht="38.25" customHeight="1">
      <c r="A45" s="35">
        <v>29</v>
      </c>
      <c r="B45" s="38" t="s">
        <v>51</v>
      </c>
      <c r="C45" s="3">
        <f>'Aug 2023'!H45</f>
        <v>8467.9320999999982</v>
      </c>
      <c r="D45" s="3">
        <v>5.74</v>
      </c>
      <c r="E45" s="3">
        <f>'Aug 2023'!E45+'Sep 2023'!D45</f>
        <v>109.86</v>
      </c>
      <c r="F45" s="3">
        <v>0</v>
      </c>
      <c r="G45" s="3">
        <f>'Aug 2023'!G45+'Sep 2023'!F45</f>
        <v>0</v>
      </c>
      <c r="H45" s="3">
        <f t="shared" si="0"/>
        <v>8473.672099999998</v>
      </c>
      <c r="I45" s="3">
        <f>'Aug 2023'!N45</f>
        <v>261.14999999999992</v>
      </c>
      <c r="J45" s="3">
        <v>0.35</v>
      </c>
      <c r="K45" s="3">
        <f>'Aug 2023'!K45+'Sep 2023'!J45</f>
        <v>0.44999999999999996</v>
      </c>
      <c r="L45" s="3">
        <v>0</v>
      </c>
      <c r="M45" s="3">
        <f>'Aug 2023'!M45+'Sep 2023'!L45</f>
        <v>0</v>
      </c>
      <c r="N45" s="3">
        <f t="shared" si="1"/>
        <v>261.49999999999994</v>
      </c>
      <c r="O45" s="3">
        <f>'Aug 2023'!T45</f>
        <v>84.45</v>
      </c>
      <c r="P45" s="3">
        <v>0.08</v>
      </c>
      <c r="Q45" s="3">
        <f>'Aug 2023'!Q45+'Sep 2023'!P45</f>
        <v>0.14000000000000001</v>
      </c>
      <c r="R45" s="3">
        <v>0</v>
      </c>
      <c r="S45" s="3">
        <f>'Aug 2023'!S45+'Sep 2023'!R45</f>
        <v>0</v>
      </c>
      <c r="T45" s="3">
        <f t="shared" si="2"/>
        <v>84.53</v>
      </c>
      <c r="U45" s="3">
        <f t="shared" si="3"/>
        <v>8819.7020999999986</v>
      </c>
    </row>
    <row r="46" spans="1:23" ht="38.25" customHeight="1">
      <c r="A46" s="35">
        <v>30</v>
      </c>
      <c r="B46" s="38" t="s">
        <v>52</v>
      </c>
      <c r="C46" s="3">
        <f>'Aug 2023'!H46</f>
        <v>8085.635000000002</v>
      </c>
      <c r="D46" s="3">
        <v>24.69</v>
      </c>
      <c r="E46" s="3">
        <f>'Aug 2023'!E46+'Sep 2023'!D46</f>
        <v>163.09</v>
      </c>
      <c r="F46" s="3">
        <v>0</v>
      </c>
      <c r="G46" s="3">
        <f>'Aug 2023'!G46+'Sep 2023'!F46</f>
        <v>0</v>
      </c>
      <c r="H46" s="3">
        <f t="shared" si="0"/>
        <v>8110.3250000000016</v>
      </c>
      <c r="I46" s="3">
        <f>'Aug 2023'!N46</f>
        <v>0</v>
      </c>
      <c r="J46" s="3">
        <v>0</v>
      </c>
      <c r="K46" s="3">
        <f>'Aug 2023'!K46+'Sep 2023'!J46</f>
        <v>0</v>
      </c>
      <c r="L46" s="3">
        <v>0</v>
      </c>
      <c r="M46" s="3">
        <f>'Aug 2023'!M46+'Sep 2023'!L46</f>
        <v>0</v>
      </c>
      <c r="N46" s="3">
        <f t="shared" si="1"/>
        <v>0</v>
      </c>
      <c r="O46" s="3">
        <f>'Aug 2023'!T46</f>
        <v>47.03</v>
      </c>
      <c r="P46" s="3">
        <v>0</v>
      </c>
      <c r="Q46" s="3">
        <f>'Aug 2023'!Q46+'Sep 2023'!P46</f>
        <v>0</v>
      </c>
      <c r="R46" s="3">
        <v>0</v>
      </c>
      <c r="S46" s="3">
        <f>'Aug 2023'!S46+'Sep 2023'!R46</f>
        <v>0</v>
      </c>
      <c r="T46" s="3">
        <f t="shared" si="2"/>
        <v>47.03</v>
      </c>
      <c r="U46" s="3">
        <f t="shared" si="3"/>
        <v>8157.3550000000014</v>
      </c>
    </row>
    <row r="47" spans="1:23" s="4" customFormat="1" ht="38.25" customHeight="1">
      <c r="A47" s="35">
        <v>31</v>
      </c>
      <c r="B47" s="38" t="s">
        <v>53</v>
      </c>
      <c r="C47" s="3">
        <f>'Aug 2023'!H47</f>
        <v>9357.4299999999948</v>
      </c>
      <c r="D47" s="3">
        <v>6.4</v>
      </c>
      <c r="E47" s="3">
        <f>'Aug 2023'!E47+'Sep 2023'!D47</f>
        <v>286.12999999999994</v>
      </c>
      <c r="F47" s="3">
        <v>0</v>
      </c>
      <c r="G47" s="3">
        <f>'Aug 2023'!G47+'Sep 2023'!F47</f>
        <v>0</v>
      </c>
      <c r="H47" s="3">
        <f t="shared" si="0"/>
        <v>9363.8299999999945</v>
      </c>
      <c r="I47" s="3">
        <f>'Aug 2023'!N47</f>
        <v>3.13</v>
      </c>
      <c r="J47" s="3">
        <v>0</v>
      </c>
      <c r="K47" s="3">
        <f>'Aug 2023'!K47+'Sep 2023'!J47</f>
        <v>0</v>
      </c>
      <c r="L47" s="3">
        <v>0</v>
      </c>
      <c r="M47" s="3">
        <f>'Aug 2023'!M47+'Sep 2023'!L47</f>
        <v>0</v>
      </c>
      <c r="N47" s="3">
        <f t="shared" si="1"/>
        <v>3.13</v>
      </c>
      <c r="O47" s="3">
        <f>'Aug 2023'!T47</f>
        <v>118.94999999999999</v>
      </c>
      <c r="P47" s="3">
        <v>0</v>
      </c>
      <c r="Q47" s="3">
        <f>'Aug 2023'!Q47+'Sep 2023'!P47</f>
        <v>0</v>
      </c>
      <c r="R47" s="3">
        <v>0</v>
      </c>
      <c r="S47" s="3">
        <f>'Aug 2023'!S47+'Sep 2023'!R47</f>
        <v>0</v>
      </c>
      <c r="T47" s="3">
        <f t="shared" si="2"/>
        <v>118.94999999999999</v>
      </c>
      <c r="U47" s="3">
        <f t="shared" si="3"/>
        <v>9485.9099999999944</v>
      </c>
    </row>
    <row r="48" spans="1:23" s="4" customFormat="1" ht="38.25" customHeight="1">
      <c r="A48" s="35">
        <v>32</v>
      </c>
      <c r="B48" s="38" t="s">
        <v>54</v>
      </c>
      <c r="C48" s="3">
        <f>'Aug 2023'!H48</f>
        <v>8645.3589999999986</v>
      </c>
      <c r="D48" s="3">
        <v>2.4900000000000002</v>
      </c>
      <c r="E48" s="3">
        <f>'Aug 2023'!E48+'Sep 2023'!D48</f>
        <v>41.900000000000006</v>
      </c>
      <c r="F48" s="3">
        <v>0</v>
      </c>
      <c r="G48" s="3">
        <f>'Aug 2023'!G48+'Sep 2023'!F48</f>
        <v>0</v>
      </c>
      <c r="H48" s="3">
        <f t="shared" si="0"/>
        <v>8647.8489999999983</v>
      </c>
      <c r="I48" s="3">
        <f>'Aug 2023'!N48</f>
        <v>5.0249999999999995</v>
      </c>
      <c r="J48" s="3">
        <v>0</v>
      </c>
      <c r="K48" s="3">
        <f>'Aug 2023'!K48+'Sep 2023'!J48</f>
        <v>0</v>
      </c>
      <c r="L48" s="3">
        <v>0</v>
      </c>
      <c r="M48" s="3">
        <f>'Aug 2023'!M48+'Sep 2023'!L48</f>
        <v>0</v>
      </c>
      <c r="N48" s="3">
        <f t="shared" si="1"/>
        <v>5.0249999999999995</v>
      </c>
      <c r="O48" s="3">
        <f>'Aug 2023'!T48</f>
        <v>4.21</v>
      </c>
      <c r="P48" s="3">
        <v>0</v>
      </c>
      <c r="Q48" s="3">
        <f>'Aug 2023'!Q48+'Sep 2023'!P48</f>
        <v>0</v>
      </c>
      <c r="R48" s="3">
        <v>0</v>
      </c>
      <c r="S48" s="3">
        <f>'Aug 2023'!S48+'Sep 2023'!R48</f>
        <v>0</v>
      </c>
      <c r="T48" s="3">
        <f t="shared" si="2"/>
        <v>4.21</v>
      </c>
      <c r="U48" s="3">
        <f t="shared" si="3"/>
        <v>8657.0839999999971</v>
      </c>
    </row>
    <row r="49" spans="1:24" s="4" customFormat="1" ht="38.25" customHeight="1">
      <c r="A49" s="34"/>
      <c r="B49" s="37" t="s">
        <v>55</v>
      </c>
      <c r="C49" s="5">
        <f>'Aug 2023'!H49</f>
        <v>34556.35609999999</v>
      </c>
      <c r="D49" s="5">
        <f t="shared" ref="D49:U49" si="14">SUM(D45:D48)</f>
        <v>39.32</v>
      </c>
      <c r="E49" s="5">
        <f t="shared" si="14"/>
        <v>600.9799999999999</v>
      </c>
      <c r="F49" s="5">
        <f t="shared" si="14"/>
        <v>0</v>
      </c>
      <c r="G49" s="5">
        <f t="shared" si="14"/>
        <v>0</v>
      </c>
      <c r="H49" s="5">
        <f t="shared" si="14"/>
        <v>34595.676099999997</v>
      </c>
      <c r="I49" s="5">
        <f>'Aug 2023'!N49</f>
        <v>269.30499999999989</v>
      </c>
      <c r="J49" s="5">
        <f t="shared" si="14"/>
        <v>0.35</v>
      </c>
      <c r="K49" s="5">
        <f t="shared" si="14"/>
        <v>0.44999999999999996</v>
      </c>
      <c r="L49" s="5">
        <f t="shared" si="14"/>
        <v>0</v>
      </c>
      <c r="M49" s="5">
        <f t="shared" si="14"/>
        <v>0</v>
      </c>
      <c r="N49" s="5">
        <f t="shared" si="14"/>
        <v>269.65499999999992</v>
      </c>
      <c r="O49" s="5">
        <f>'Aug 2023'!T49</f>
        <v>254.64000000000001</v>
      </c>
      <c r="P49" s="5">
        <f t="shared" si="14"/>
        <v>0.08</v>
      </c>
      <c r="Q49" s="5">
        <f t="shared" si="14"/>
        <v>0.14000000000000001</v>
      </c>
      <c r="R49" s="5">
        <f t="shared" si="14"/>
        <v>0</v>
      </c>
      <c r="S49" s="5">
        <f t="shared" si="14"/>
        <v>0</v>
      </c>
      <c r="T49" s="5">
        <f t="shared" si="14"/>
        <v>254.72</v>
      </c>
      <c r="U49" s="5">
        <f t="shared" si="14"/>
        <v>35120.05109999999</v>
      </c>
    </row>
    <row r="50" spans="1:24" s="4" customFormat="1" ht="38.25" customHeight="1">
      <c r="A50" s="34"/>
      <c r="B50" s="37" t="s">
        <v>56</v>
      </c>
      <c r="C50" s="5">
        <f>'Aug 2023'!H50</f>
        <v>76320.332099999971</v>
      </c>
      <c r="D50" s="5">
        <f t="shared" ref="D50:U50" si="15">D49+D44</f>
        <v>681.04500000000007</v>
      </c>
      <c r="E50" s="5">
        <f>'Aug 2023'!E50+'Sep 2023'!D50</f>
        <v>4546.0249999999996</v>
      </c>
      <c r="F50" s="5">
        <f t="shared" si="15"/>
        <v>0</v>
      </c>
      <c r="G50" s="5">
        <f>'Aug 2023'!G50+'Sep 2023'!F50</f>
        <v>0</v>
      </c>
      <c r="H50" s="5">
        <f t="shared" si="15"/>
        <v>77001.377099999983</v>
      </c>
      <c r="I50" s="5">
        <f>'Aug 2023'!N50</f>
        <v>495.82499999999987</v>
      </c>
      <c r="J50" s="5">
        <f t="shared" si="15"/>
        <v>0.35</v>
      </c>
      <c r="K50" s="5">
        <f>'Aug 2023'!K50+'Sep 2023'!J50</f>
        <v>0.44999999999999996</v>
      </c>
      <c r="L50" s="5">
        <f t="shared" si="15"/>
        <v>0</v>
      </c>
      <c r="M50" s="5">
        <f>'Aug 2023'!M50+'Sep 2023'!L50</f>
        <v>0</v>
      </c>
      <c r="N50" s="5">
        <f t="shared" si="15"/>
        <v>496.1749999999999</v>
      </c>
      <c r="O50" s="5">
        <f>'Aug 2023'!T50</f>
        <v>738.0100000000001</v>
      </c>
      <c r="P50" s="5">
        <f t="shared" si="15"/>
        <v>0.08</v>
      </c>
      <c r="Q50" s="5">
        <f>'Aug 2023'!Q50+'Sep 2023'!P50</f>
        <v>0.14000000000000001</v>
      </c>
      <c r="R50" s="5">
        <f t="shared" si="15"/>
        <v>0</v>
      </c>
      <c r="S50" s="5">
        <f>'Aug 2023'!S50+'Sep 2023'!R50</f>
        <v>0</v>
      </c>
      <c r="T50" s="5">
        <f t="shared" si="15"/>
        <v>738.09</v>
      </c>
      <c r="U50" s="5">
        <f t="shared" si="15"/>
        <v>78235.642099999968</v>
      </c>
    </row>
    <row r="51" spans="1:24" s="4" customFormat="1" ht="38.25" customHeight="1">
      <c r="A51" s="34"/>
      <c r="B51" s="37" t="s">
        <v>57</v>
      </c>
      <c r="C51" s="5">
        <f>'Aug 2023'!H51</f>
        <v>127104.77089999996</v>
      </c>
      <c r="D51" s="5">
        <f t="shared" ref="D51:U51" si="16">D50+D39+D25</f>
        <v>1467.5530000000001</v>
      </c>
      <c r="E51" s="5">
        <f t="shared" si="16"/>
        <v>9156.1249999999982</v>
      </c>
      <c r="F51" s="5">
        <f t="shared" si="16"/>
        <v>31</v>
      </c>
      <c r="G51" s="5">
        <f t="shared" si="16"/>
        <v>50.92</v>
      </c>
      <c r="H51" s="26">
        <f t="shared" si="16"/>
        <v>128541.32389999999</v>
      </c>
      <c r="I51" s="5">
        <f>'Aug 2023'!N51</f>
        <v>11199.757</v>
      </c>
      <c r="J51" s="5">
        <f t="shared" si="16"/>
        <v>39.825000000000003</v>
      </c>
      <c r="K51" s="5">
        <f t="shared" si="16"/>
        <v>331.18599999999998</v>
      </c>
      <c r="L51" s="5">
        <f t="shared" si="16"/>
        <v>0</v>
      </c>
      <c r="M51" s="5">
        <f t="shared" si="16"/>
        <v>0.49</v>
      </c>
      <c r="N51" s="26">
        <f t="shared" si="16"/>
        <v>11239.582</v>
      </c>
      <c r="O51" s="5">
        <f>'Aug 2023'!T51</f>
        <v>1597.47</v>
      </c>
      <c r="P51" s="5">
        <f t="shared" si="16"/>
        <v>0.86</v>
      </c>
      <c r="Q51" s="5">
        <f t="shared" si="16"/>
        <v>2.39</v>
      </c>
      <c r="R51" s="5">
        <f t="shared" si="16"/>
        <v>0.74</v>
      </c>
      <c r="S51" s="5">
        <f t="shared" si="16"/>
        <v>82.039999999999992</v>
      </c>
      <c r="T51" s="26">
        <f t="shared" si="16"/>
        <v>1597.5900000000001</v>
      </c>
      <c r="U51" s="5">
        <f t="shared" si="16"/>
        <v>141378.49589999998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1476.498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9356.2509999999966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141378.49589999998</v>
      </c>
      <c r="K56" s="13"/>
      <c r="L56" s="13"/>
      <c r="M56" s="16"/>
      <c r="N56" s="13"/>
      <c r="P56" s="9"/>
      <c r="Q56" s="17"/>
      <c r="U56" s="17"/>
    </row>
    <row r="57" spans="1:24">
      <c r="P57" s="1"/>
      <c r="Q57" s="1"/>
      <c r="R57" s="1"/>
      <c r="S57" s="2"/>
      <c r="T57" s="1"/>
      <c r="U57" s="1"/>
    </row>
  </sheetData>
  <mergeCells count="26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opLeftCell="A40" zoomScale="39" zoomScaleNormal="39" workbookViewId="0">
      <selection activeCell="A49" sqref="A49:XFD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'Sep 2023'!H7</f>
        <v>7.179999999999982</v>
      </c>
      <c r="D7" s="3">
        <v>0</v>
      </c>
      <c r="E7" s="3">
        <f>'Sep 2023'!E7+'Oct-2023'!D7</f>
        <v>0</v>
      </c>
      <c r="F7" s="3">
        <v>0</v>
      </c>
      <c r="G7" s="3">
        <f>'Sep 2023'!G7+'Oct-2023'!F7</f>
        <v>0</v>
      </c>
      <c r="H7" s="3">
        <f>C7+D7-F7</f>
        <v>7.179999999999982</v>
      </c>
      <c r="I7" s="3">
        <f>'Sep 2023'!N7</f>
        <v>725.73699999999974</v>
      </c>
      <c r="J7" s="3">
        <v>1.22</v>
      </c>
      <c r="K7" s="3">
        <f>'Sep 2023'!K7+'Oct-2023'!J7</f>
        <v>12.500000000000002</v>
      </c>
      <c r="L7" s="3">
        <v>0</v>
      </c>
      <c r="M7" s="3">
        <f>'Sep 2023'!M7+'Oct-2023'!L7</f>
        <v>0</v>
      </c>
      <c r="N7" s="3">
        <f>I7+J7-L7</f>
        <v>726.95699999999977</v>
      </c>
      <c r="O7" s="3">
        <f>'Sep 2023'!T7</f>
        <v>8.436000000000007</v>
      </c>
      <c r="P7" s="3">
        <v>0</v>
      </c>
      <c r="Q7" s="3">
        <f>'Sep 2023'!Q7+'Oct-2023'!P7</f>
        <v>0</v>
      </c>
      <c r="R7" s="3">
        <v>0</v>
      </c>
      <c r="S7" s="3">
        <f>'Sep 2023'!S7+'Oct-2023'!R7</f>
        <v>0</v>
      </c>
      <c r="T7" s="3">
        <f>O7+P7-R7</f>
        <v>8.436000000000007</v>
      </c>
      <c r="U7" s="3">
        <f>H7+N7+T7</f>
        <v>742.57299999999975</v>
      </c>
    </row>
    <row r="8" spans="1:22" ht="38.25" customHeight="1">
      <c r="A8" s="35">
        <v>2</v>
      </c>
      <c r="B8" s="38" t="s">
        <v>14</v>
      </c>
      <c r="C8" s="3">
        <f>'Sep 2023'!H8</f>
        <v>265.98999999999995</v>
      </c>
      <c r="D8" s="3">
        <v>0</v>
      </c>
      <c r="E8" s="3">
        <f>'Sep 2023'!E8+'Oct-2023'!D8</f>
        <v>0</v>
      </c>
      <c r="F8" s="3">
        <v>0</v>
      </c>
      <c r="G8" s="3">
        <f>'Sep 2023'!G8+'Oct-2023'!F8</f>
        <v>0</v>
      </c>
      <c r="H8" s="3">
        <f t="shared" ref="H8:H48" si="0">C8+D8-F8</f>
        <v>265.98999999999995</v>
      </c>
      <c r="I8" s="3">
        <f>'Sep 2023'!N8</f>
        <v>477.51600000000013</v>
      </c>
      <c r="J8" s="3">
        <v>5.72</v>
      </c>
      <c r="K8" s="3">
        <f>'Sep 2023'!K8+'Oct-2023'!J8</f>
        <v>85.09</v>
      </c>
      <c r="L8" s="3">
        <v>0</v>
      </c>
      <c r="M8" s="3">
        <f>'Sep 2023'!M8+'Oct-2023'!L8</f>
        <v>0</v>
      </c>
      <c r="N8" s="3">
        <f t="shared" ref="N8:N48" si="1">I8+J8-L8</f>
        <v>483.23600000000016</v>
      </c>
      <c r="O8" s="3">
        <f>'Sep 2023'!T8</f>
        <v>66.290000000000006</v>
      </c>
      <c r="P8" s="3">
        <v>0</v>
      </c>
      <c r="Q8" s="3">
        <f>'Sep 2023'!Q8+'Oct-2023'!P8</f>
        <v>0</v>
      </c>
      <c r="R8" s="3">
        <v>0</v>
      </c>
      <c r="S8" s="3">
        <f>'Sep 2023'!S8+'Oct-2023'!R8</f>
        <v>0</v>
      </c>
      <c r="T8" s="3">
        <f t="shared" ref="T8:T48" si="2">O8+P8-R8</f>
        <v>66.290000000000006</v>
      </c>
      <c r="U8" s="3">
        <f t="shared" ref="U8:U48" si="3">H8+N8+T8</f>
        <v>815.51600000000008</v>
      </c>
    </row>
    <row r="9" spans="1:22" ht="38.25" customHeight="1">
      <c r="A9" s="35">
        <v>3</v>
      </c>
      <c r="B9" s="38" t="s">
        <v>15</v>
      </c>
      <c r="C9" s="3">
        <f>'Sep 2023'!H9</f>
        <v>209.16</v>
      </c>
      <c r="D9" s="3">
        <v>0</v>
      </c>
      <c r="E9" s="3">
        <f>'Sep 2023'!E9+'Oct-2023'!D9</f>
        <v>0</v>
      </c>
      <c r="F9" s="3">
        <v>0</v>
      </c>
      <c r="G9" s="3">
        <f>'Sep 2023'!G9+'Oct-2023'!F9</f>
        <v>0</v>
      </c>
      <c r="H9" s="3">
        <f t="shared" si="0"/>
        <v>209.16</v>
      </c>
      <c r="I9" s="3">
        <f>'Sep 2023'!N9</f>
        <v>938.82799999999986</v>
      </c>
      <c r="J9" s="3">
        <v>4.8600000000000003</v>
      </c>
      <c r="K9" s="3">
        <f>'Sep 2023'!K9+'Oct-2023'!J9</f>
        <v>40.44</v>
      </c>
      <c r="L9" s="3">
        <v>0</v>
      </c>
      <c r="M9" s="3">
        <f>'Sep 2023'!M9+'Oct-2023'!L9</f>
        <v>0</v>
      </c>
      <c r="N9" s="3">
        <f t="shared" si="1"/>
        <v>943.68799999999987</v>
      </c>
      <c r="O9" s="3">
        <f>'Sep 2023'!T9</f>
        <v>44.739999999999995</v>
      </c>
      <c r="P9" s="3">
        <v>0</v>
      </c>
      <c r="Q9" s="3">
        <f>'Sep 2023'!Q9+'Oct-2023'!P9</f>
        <v>0</v>
      </c>
      <c r="R9" s="3">
        <v>0</v>
      </c>
      <c r="S9" s="3">
        <f>'Sep 2023'!S9+'Oct-2023'!R9</f>
        <v>0</v>
      </c>
      <c r="T9" s="3">
        <f t="shared" si="2"/>
        <v>44.739999999999995</v>
      </c>
      <c r="U9" s="3">
        <f t="shared" si="3"/>
        <v>1197.588</v>
      </c>
    </row>
    <row r="10" spans="1:22" s="4" customFormat="1" ht="38.25" customHeight="1">
      <c r="A10" s="35">
        <v>4</v>
      </c>
      <c r="B10" s="38" t="s">
        <v>16</v>
      </c>
      <c r="C10" s="3">
        <f>'Sep 2023'!H10</f>
        <v>0</v>
      </c>
      <c r="D10" s="3">
        <v>0</v>
      </c>
      <c r="E10" s="3">
        <f>'Sep 2023'!E10+'Oct-2023'!D10</f>
        <v>0</v>
      </c>
      <c r="F10" s="3">
        <v>0</v>
      </c>
      <c r="G10" s="3">
        <f>'Sep 2023'!G10+'Oct-2023'!F10</f>
        <v>0</v>
      </c>
      <c r="H10" s="3">
        <f t="shared" si="0"/>
        <v>0</v>
      </c>
      <c r="I10" s="3">
        <f>'Sep 2023'!N10</f>
        <v>371.60099999999989</v>
      </c>
      <c r="J10" s="3">
        <v>0.96</v>
      </c>
      <c r="K10" s="3">
        <f>'Sep 2023'!K10+'Oct-2023'!J10</f>
        <v>7.5880000000000001</v>
      </c>
      <c r="L10" s="3">
        <v>0</v>
      </c>
      <c r="M10" s="3">
        <f>'Sep 2023'!M10+'Oct-2023'!L10</f>
        <v>0</v>
      </c>
      <c r="N10" s="3">
        <f t="shared" si="1"/>
        <v>372.56099999999986</v>
      </c>
      <c r="O10" s="3">
        <f>'Sep 2023'!T10</f>
        <v>0.20000000000000007</v>
      </c>
      <c r="P10" s="3">
        <v>0</v>
      </c>
      <c r="Q10" s="3">
        <f>'Sep 2023'!Q10+'Oct-2023'!P10</f>
        <v>0</v>
      </c>
      <c r="R10" s="3">
        <v>0</v>
      </c>
      <c r="S10" s="3">
        <f>'Sep 2023'!S10+'Oct-2023'!R10</f>
        <v>0</v>
      </c>
      <c r="T10" s="3">
        <f t="shared" si="2"/>
        <v>0.20000000000000007</v>
      </c>
      <c r="U10" s="3">
        <f t="shared" si="3"/>
        <v>372.76099999999985</v>
      </c>
    </row>
    <row r="11" spans="1:22" s="4" customFormat="1" ht="38.25" customHeight="1">
      <c r="A11" s="34"/>
      <c r="B11" s="37" t="s">
        <v>17</v>
      </c>
      <c r="C11" s="5">
        <f>'Sep 2023'!H11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'Sep 2023'!N11</f>
        <v>2513.6819999999998</v>
      </c>
      <c r="J11" s="5">
        <f t="shared" si="4"/>
        <v>12.760000000000002</v>
      </c>
      <c r="K11" s="5">
        <f t="shared" si="4"/>
        <v>145.61799999999999</v>
      </c>
      <c r="L11" s="5">
        <f t="shared" si="4"/>
        <v>0</v>
      </c>
      <c r="M11" s="5">
        <f t="shared" si="4"/>
        <v>0</v>
      </c>
      <c r="N11" s="5">
        <f t="shared" si="4"/>
        <v>2526.4419999999996</v>
      </c>
      <c r="O11" s="5">
        <f>'Sep 2023'!T11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3128.4379999999996</v>
      </c>
      <c r="V11" s="33"/>
    </row>
    <row r="12" spans="1:22" ht="38.25" customHeight="1">
      <c r="A12" s="35">
        <v>5</v>
      </c>
      <c r="B12" s="38" t="s">
        <v>18</v>
      </c>
      <c r="C12" s="3">
        <f>'Sep 2023'!H12</f>
        <v>22.179999999999609</v>
      </c>
      <c r="D12" s="3">
        <v>0</v>
      </c>
      <c r="E12" s="3">
        <f>'Sep 2023'!E12+'Oct-2023'!D12</f>
        <v>0</v>
      </c>
      <c r="F12" s="3">
        <v>0</v>
      </c>
      <c r="G12" s="3">
        <f>'Sep 2023'!G12+'Oct-2023'!F12</f>
        <v>0</v>
      </c>
      <c r="H12" s="3">
        <f t="shared" si="0"/>
        <v>22.179999999999609</v>
      </c>
      <c r="I12" s="3">
        <f>'Sep 2023'!N12</f>
        <v>1293.7549999999997</v>
      </c>
      <c r="J12" s="25">
        <v>1.51</v>
      </c>
      <c r="K12" s="3">
        <f>'Sep 2023'!K12+'Oct-2023'!J12</f>
        <v>18.830000000000002</v>
      </c>
      <c r="L12" s="3">
        <v>0</v>
      </c>
      <c r="M12" s="3">
        <f>'Sep 2023'!M12+'Oct-2023'!L12</f>
        <v>0</v>
      </c>
      <c r="N12" s="3">
        <f t="shared" si="1"/>
        <v>1295.2649999999996</v>
      </c>
      <c r="O12" s="3">
        <f>'Sep 2023'!T12</f>
        <v>1.9700000000000095</v>
      </c>
      <c r="P12" s="3">
        <v>0</v>
      </c>
      <c r="Q12" s="3">
        <f>'Sep 2023'!Q12+'Oct-2023'!P12</f>
        <v>0</v>
      </c>
      <c r="R12" s="3">
        <v>0</v>
      </c>
      <c r="S12" s="3">
        <f>'Sep 2023'!S12+'Oct-2023'!R12</f>
        <v>0</v>
      </c>
      <c r="T12" s="3">
        <f t="shared" si="2"/>
        <v>1.9700000000000095</v>
      </c>
      <c r="U12" s="3">
        <f t="shared" si="3"/>
        <v>1319.4149999999993</v>
      </c>
    </row>
    <row r="13" spans="1:22" ht="38.25" customHeight="1">
      <c r="A13" s="35">
        <v>6</v>
      </c>
      <c r="B13" s="38" t="s">
        <v>19</v>
      </c>
      <c r="C13" s="3">
        <f>'Sep 2023'!H13</f>
        <v>312.23000000000013</v>
      </c>
      <c r="D13" s="3">
        <v>0</v>
      </c>
      <c r="E13" s="3">
        <f>'Sep 2023'!E13+'Oct-2023'!D13</f>
        <v>0</v>
      </c>
      <c r="F13" s="3">
        <v>0</v>
      </c>
      <c r="G13" s="3">
        <f>'Sep 2023'!G13+'Oct-2023'!F13</f>
        <v>0</v>
      </c>
      <c r="H13" s="3">
        <f t="shared" si="0"/>
        <v>312.23000000000013</v>
      </c>
      <c r="I13" s="3">
        <f>'Sep 2023'!N13</f>
        <v>556.06200000000024</v>
      </c>
      <c r="J13" s="25">
        <v>1.4</v>
      </c>
      <c r="K13" s="3">
        <f>'Sep 2023'!K13+'Oct-2023'!J13</f>
        <v>11.930000000000001</v>
      </c>
      <c r="L13" s="3">
        <v>0</v>
      </c>
      <c r="M13" s="3">
        <f>'Sep 2023'!M13+'Oct-2023'!L13</f>
        <v>0</v>
      </c>
      <c r="N13" s="3">
        <f t="shared" si="1"/>
        <v>557.46200000000022</v>
      </c>
      <c r="O13" s="3">
        <f>'Sep 2023'!T13</f>
        <v>68.39</v>
      </c>
      <c r="P13" s="3">
        <v>0</v>
      </c>
      <c r="Q13" s="3">
        <f>'Sep 2023'!Q13+'Oct-2023'!P13</f>
        <v>0</v>
      </c>
      <c r="R13" s="3">
        <v>0</v>
      </c>
      <c r="S13" s="3">
        <f>'Sep 2023'!S13+'Oct-2023'!R13</f>
        <v>0</v>
      </c>
      <c r="T13" s="3">
        <f t="shared" si="2"/>
        <v>68.39</v>
      </c>
      <c r="U13" s="3">
        <f t="shared" si="3"/>
        <v>938.08200000000033</v>
      </c>
    </row>
    <row r="14" spans="1:22" s="4" customFormat="1" ht="38.25" customHeight="1">
      <c r="A14" s="35">
        <v>7</v>
      </c>
      <c r="B14" s="38" t="s">
        <v>20</v>
      </c>
      <c r="C14" s="3">
        <f>'Sep 2023'!H14</f>
        <v>1216.4399999999994</v>
      </c>
      <c r="D14" s="3">
        <v>0</v>
      </c>
      <c r="E14" s="3">
        <f>'Sep 2023'!E14+'Oct-2023'!D14</f>
        <v>0</v>
      </c>
      <c r="F14" s="3">
        <v>0</v>
      </c>
      <c r="G14" s="3">
        <f>'Sep 2023'!G14+'Oct-2023'!F14</f>
        <v>0</v>
      </c>
      <c r="H14" s="3">
        <f t="shared" si="0"/>
        <v>1216.4399999999994</v>
      </c>
      <c r="I14" s="3">
        <f>'Sep 2023'!N14</f>
        <v>931.89800000000037</v>
      </c>
      <c r="J14" s="25">
        <v>2.85</v>
      </c>
      <c r="K14" s="3">
        <f>'Sep 2023'!K14+'Oct-2023'!J14</f>
        <v>31.25</v>
      </c>
      <c r="L14" s="3">
        <v>0</v>
      </c>
      <c r="M14" s="3">
        <f>'Sep 2023'!M14+'Oct-2023'!L14</f>
        <v>0</v>
      </c>
      <c r="N14" s="3">
        <f t="shared" si="1"/>
        <v>934.74800000000039</v>
      </c>
      <c r="O14" s="3">
        <f>'Sep 2023'!T14</f>
        <v>61.329999999999991</v>
      </c>
      <c r="P14" s="3">
        <v>0</v>
      </c>
      <c r="Q14" s="3">
        <f>'Sep 2023'!Q14+'Oct-2023'!P14</f>
        <v>0</v>
      </c>
      <c r="R14" s="3">
        <v>0</v>
      </c>
      <c r="S14" s="3">
        <f>'Sep 2023'!S14+'Oct-2023'!R14</f>
        <v>0</v>
      </c>
      <c r="T14" s="3">
        <f t="shared" si="2"/>
        <v>61.329999999999991</v>
      </c>
      <c r="U14" s="3">
        <f t="shared" si="3"/>
        <v>2212.5179999999996</v>
      </c>
    </row>
    <row r="15" spans="1:22" s="4" customFormat="1" ht="38.25" customHeight="1">
      <c r="A15" s="34"/>
      <c r="B15" s="37" t="s">
        <v>21</v>
      </c>
      <c r="C15" s="5">
        <f>'Sep 2023'!H15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1550.849999999999</v>
      </c>
      <c r="I15" s="5">
        <f>'Sep 2023'!N15</f>
        <v>2781.7150000000001</v>
      </c>
      <c r="J15" s="5">
        <f t="shared" si="5"/>
        <v>5.76</v>
      </c>
      <c r="K15" s="5">
        <f t="shared" si="5"/>
        <v>62.010000000000005</v>
      </c>
      <c r="L15" s="5">
        <f t="shared" si="5"/>
        <v>0</v>
      </c>
      <c r="M15" s="5">
        <f t="shared" si="5"/>
        <v>0</v>
      </c>
      <c r="N15" s="5">
        <f t="shared" si="5"/>
        <v>2787.4750000000004</v>
      </c>
      <c r="O15" s="5">
        <f>'Sep 2023'!T15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4470.0149999999994</v>
      </c>
      <c r="V15" s="33"/>
    </row>
    <row r="16" spans="1:22" s="6" customFormat="1" ht="38.25" customHeight="1">
      <c r="A16" s="35">
        <v>8</v>
      </c>
      <c r="B16" s="38" t="s">
        <v>22</v>
      </c>
      <c r="C16" s="3">
        <f>'Sep 2023'!H16</f>
        <v>759.38400000000047</v>
      </c>
      <c r="D16" s="3">
        <v>1.59</v>
      </c>
      <c r="E16" s="3">
        <f>'Sep 2023'!E16+'Oct-2023'!D16</f>
        <v>11.339999999999998</v>
      </c>
      <c r="F16" s="3">
        <v>0.71</v>
      </c>
      <c r="G16" s="3">
        <f>'Sep 2023'!G16+'Oct-2023'!F16</f>
        <v>7.24</v>
      </c>
      <c r="H16" s="3">
        <f t="shared" si="0"/>
        <v>760.26400000000046</v>
      </c>
      <c r="I16" s="3">
        <f>'Sep 2023'!N16</f>
        <v>584.29600000000016</v>
      </c>
      <c r="J16" s="3">
        <v>1.37</v>
      </c>
      <c r="K16" s="3">
        <f>'Sep 2023'!K16+'Oct-2023'!J16</f>
        <v>8.6900000000000013</v>
      </c>
      <c r="L16" s="3">
        <v>0</v>
      </c>
      <c r="M16" s="3">
        <f>'Sep 2023'!M16+'Oct-2023'!L16</f>
        <v>0</v>
      </c>
      <c r="N16" s="3">
        <f t="shared" si="1"/>
        <v>585.66600000000017</v>
      </c>
      <c r="O16" s="3">
        <f>'Sep 2023'!T16</f>
        <v>113.35200000000005</v>
      </c>
      <c r="P16" s="3">
        <v>0.11</v>
      </c>
      <c r="Q16" s="3">
        <f>'Sep 2023'!Q16+'Oct-2023'!P16</f>
        <v>0.19</v>
      </c>
      <c r="R16" s="3">
        <v>0</v>
      </c>
      <c r="S16" s="3">
        <f>'Sep 2023'!S16+'Oct-2023'!R16</f>
        <v>64.17</v>
      </c>
      <c r="T16" s="3">
        <f t="shared" si="2"/>
        <v>113.46200000000005</v>
      </c>
      <c r="U16" s="3">
        <f t="shared" si="3"/>
        <v>1459.3920000000007</v>
      </c>
    </row>
    <row r="17" spans="1:23" ht="61.5" customHeight="1">
      <c r="A17" s="7">
        <v>9</v>
      </c>
      <c r="B17" s="8" t="s">
        <v>23</v>
      </c>
      <c r="C17" s="3">
        <f>'Sep 2023'!H17</f>
        <v>2.7259999999999476</v>
      </c>
      <c r="D17" s="3">
        <v>0</v>
      </c>
      <c r="E17" s="3">
        <f>'Sep 2023'!E17+'Oct-2023'!D17</f>
        <v>0.05</v>
      </c>
      <c r="F17" s="3">
        <v>0</v>
      </c>
      <c r="G17" s="3">
        <f>'Sep 2023'!G17+'Oct-2023'!F17</f>
        <v>0</v>
      </c>
      <c r="H17" s="3">
        <f t="shared" si="0"/>
        <v>2.7259999999999476</v>
      </c>
      <c r="I17" s="3">
        <f>'Sep 2023'!N17</f>
        <v>606.80000000000007</v>
      </c>
      <c r="J17" s="3">
        <v>2.65</v>
      </c>
      <c r="K17" s="3">
        <f>'Sep 2023'!K17+'Oct-2023'!J17</f>
        <v>20.759999999999998</v>
      </c>
      <c r="L17" s="3">
        <v>0</v>
      </c>
      <c r="M17" s="3">
        <f>'Sep 2023'!M17+'Oct-2023'!L17</f>
        <v>0.43</v>
      </c>
      <c r="N17" s="3">
        <f t="shared" si="1"/>
        <v>609.45000000000005</v>
      </c>
      <c r="O17" s="3">
        <f>'Sep 2023'!T17</f>
        <v>1.5399999999999998</v>
      </c>
      <c r="P17" s="3">
        <v>0</v>
      </c>
      <c r="Q17" s="3">
        <f>'Sep 2023'!Q17+'Oct-2023'!P17</f>
        <v>1.22</v>
      </c>
      <c r="R17" s="3">
        <v>0</v>
      </c>
      <c r="S17" s="3">
        <f>'Sep 2023'!S17+'Oct-2023'!R17</f>
        <v>1.63</v>
      </c>
      <c r="T17" s="3">
        <f t="shared" si="2"/>
        <v>1.5399999999999998</v>
      </c>
      <c r="U17" s="3">
        <f t="shared" si="3"/>
        <v>613.71600000000001</v>
      </c>
    </row>
    <row r="18" spans="1:23" s="4" customFormat="1" ht="38.25" customHeight="1">
      <c r="A18" s="35">
        <v>10</v>
      </c>
      <c r="B18" s="38" t="s">
        <v>24</v>
      </c>
      <c r="C18" s="3">
        <f>'Sep 2023'!H18</f>
        <v>90.266000000000147</v>
      </c>
      <c r="D18" s="3">
        <v>0</v>
      </c>
      <c r="E18" s="3">
        <f>'Sep 2023'!E18+'Oct-2023'!D18</f>
        <v>0.05</v>
      </c>
      <c r="F18" s="3">
        <v>0</v>
      </c>
      <c r="G18" s="3">
        <f>'Sep 2023'!G18+'Oct-2023'!F18</f>
        <v>0.05</v>
      </c>
      <c r="H18" s="3">
        <f t="shared" si="0"/>
        <v>90.266000000000147</v>
      </c>
      <c r="I18" s="3">
        <f>'Sep 2023'!N18</f>
        <v>623.67000000000007</v>
      </c>
      <c r="J18" s="3">
        <v>1.36</v>
      </c>
      <c r="K18" s="3">
        <f>'Sep 2023'!K18+'Oct-2023'!J18</f>
        <v>7.7350000000000003</v>
      </c>
      <c r="L18" s="3">
        <v>0</v>
      </c>
      <c r="M18" s="3">
        <f>'Sep 2023'!M18+'Oct-2023'!L18</f>
        <v>0</v>
      </c>
      <c r="N18" s="3">
        <f t="shared" si="1"/>
        <v>625.03000000000009</v>
      </c>
      <c r="O18" s="3">
        <f>'Sep 2023'!T18</f>
        <v>35.689999999999991</v>
      </c>
      <c r="P18" s="3">
        <v>0</v>
      </c>
      <c r="Q18" s="3">
        <f>'Sep 2023'!Q18+'Oct-2023'!P18</f>
        <v>0</v>
      </c>
      <c r="R18" s="3">
        <v>0</v>
      </c>
      <c r="S18" s="3">
        <f>'Sep 2023'!S18+'Oct-2023'!R18</f>
        <v>0</v>
      </c>
      <c r="T18" s="3">
        <f t="shared" si="2"/>
        <v>35.689999999999991</v>
      </c>
      <c r="U18" s="3">
        <f t="shared" si="3"/>
        <v>750.98600000000022</v>
      </c>
    </row>
    <row r="19" spans="1:23" s="4" customFormat="1" ht="38.25" customHeight="1">
      <c r="A19" s="34"/>
      <c r="B19" s="37" t="s">
        <v>25</v>
      </c>
      <c r="C19" s="5">
        <f>'Sep 2023'!H19</f>
        <v>852.37600000000066</v>
      </c>
      <c r="D19" s="5">
        <f t="shared" ref="D19:U19" si="6">SUM(D16:D18)</f>
        <v>1.59</v>
      </c>
      <c r="E19" s="5">
        <f t="shared" si="6"/>
        <v>11.44</v>
      </c>
      <c r="F19" s="5">
        <f t="shared" si="6"/>
        <v>0.71</v>
      </c>
      <c r="G19" s="5">
        <f t="shared" si="6"/>
        <v>7.29</v>
      </c>
      <c r="H19" s="5">
        <f t="shared" si="6"/>
        <v>853.25600000000065</v>
      </c>
      <c r="I19" s="5">
        <f>'Sep 2023'!N19</f>
        <v>1814.7660000000003</v>
      </c>
      <c r="J19" s="5">
        <f t="shared" si="6"/>
        <v>5.38</v>
      </c>
      <c r="K19" s="5">
        <f t="shared" si="6"/>
        <v>37.185000000000002</v>
      </c>
      <c r="L19" s="5">
        <f t="shared" si="6"/>
        <v>0</v>
      </c>
      <c r="M19" s="5">
        <f t="shared" si="6"/>
        <v>0.43</v>
      </c>
      <c r="N19" s="5">
        <f t="shared" si="6"/>
        <v>1820.1460000000002</v>
      </c>
      <c r="O19" s="5">
        <f>'Sep 2023'!T19</f>
        <v>150.58200000000005</v>
      </c>
      <c r="P19" s="5">
        <f t="shared" si="6"/>
        <v>0.11</v>
      </c>
      <c r="Q19" s="5">
        <f t="shared" si="6"/>
        <v>1.41</v>
      </c>
      <c r="R19" s="5">
        <f t="shared" si="6"/>
        <v>0</v>
      </c>
      <c r="S19" s="5">
        <f t="shared" si="6"/>
        <v>65.8</v>
      </c>
      <c r="T19" s="5">
        <f t="shared" si="6"/>
        <v>150.69200000000004</v>
      </c>
      <c r="U19" s="5">
        <f t="shared" si="6"/>
        <v>2824.094000000001</v>
      </c>
    </row>
    <row r="20" spans="1:23" ht="38.25" customHeight="1">
      <c r="A20" s="35">
        <v>11</v>
      </c>
      <c r="B20" s="38" t="s">
        <v>26</v>
      </c>
      <c r="C20" s="3">
        <f>'Sep 2023'!H20</f>
        <v>607.42999999999984</v>
      </c>
      <c r="D20" s="3">
        <v>0</v>
      </c>
      <c r="E20" s="3">
        <f>'Sep 2023'!E20+'Oct-2023'!D20</f>
        <v>0</v>
      </c>
      <c r="F20" s="3">
        <v>0</v>
      </c>
      <c r="G20" s="3">
        <f>'Sep 2023'!G20+'Oct-2023'!F20</f>
        <v>0</v>
      </c>
      <c r="H20" s="3">
        <f t="shared" si="0"/>
        <v>607.42999999999984</v>
      </c>
      <c r="I20" s="3">
        <f>'Sep 2023'!N20</f>
        <v>765.84800000000018</v>
      </c>
      <c r="J20" s="3">
        <v>6.73</v>
      </c>
      <c r="K20" s="3">
        <f>'Sep 2023'!K20+'Oct-2023'!J20</f>
        <v>24.19</v>
      </c>
      <c r="L20" s="3">
        <v>0</v>
      </c>
      <c r="M20" s="3">
        <f>'Sep 2023'!M20+'Oct-2023'!L20</f>
        <v>0.02</v>
      </c>
      <c r="N20" s="3">
        <f t="shared" si="1"/>
        <v>772.5780000000002</v>
      </c>
      <c r="O20" s="3">
        <f>'Sep 2023'!T20</f>
        <v>37.580000000000005</v>
      </c>
      <c r="P20" s="3">
        <v>0</v>
      </c>
      <c r="Q20" s="3">
        <f>'Sep 2023'!Q20+'Oct-2023'!P20</f>
        <v>0</v>
      </c>
      <c r="R20" s="3">
        <v>0</v>
      </c>
      <c r="S20" s="3">
        <f>'Sep 2023'!S20+'Oct-2023'!R20</f>
        <v>0</v>
      </c>
      <c r="T20" s="3">
        <f t="shared" si="2"/>
        <v>37.580000000000005</v>
      </c>
      <c r="U20" s="3">
        <f t="shared" si="3"/>
        <v>1417.588</v>
      </c>
      <c r="W20" s="90"/>
    </row>
    <row r="21" spans="1:23" ht="38.25" customHeight="1">
      <c r="A21" s="35">
        <v>12</v>
      </c>
      <c r="B21" s="38" t="s">
        <v>27</v>
      </c>
      <c r="C21" s="3">
        <f>'Sep 2023'!H21</f>
        <v>1.2000000000000002</v>
      </c>
      <c r="D21" s="3">
        <v>0</v>
      </c>
      <c r="E21" s="3">
        <f>'Sep 2023'!E21+'Oct-2023'!D21</f>
        <v>0</v>
      </c>
      <c r="F21" s="3">
        <v>0</v>
      </c>
      <c r="G21" s="3">
        <f>'Sep 2023'!G21+'Oct-2023'!F21</f>
        <v>0.87</v>
      </c>
      <c r="H21" s="3">
        <f t="shared" si="0"/>
        <v>1.2000000000000002</v>
      </c>
      <c r="I21" s="3">
        <f>'Sep 2023'!N21</f>
        <v>470.7770000000001</v>
      </c>
      <c r="J21" s="3">
        <v>0.3</v>
      </c>
      <c r="K21" s="3">
        <f>'Sep 2023'!K21+'Oct-2023'!J21</f>
        <v>9.6700000000000017</v>
      </c>
      <c r="L21" s="3">
        <v>0</v>
      </c>
      <c r="M21" s="3">
        <f>'Sep 2023'!M21+'Oct-2023'!L21</f>
        <v>0.02</v>
      </c>
      <c r="N21" s="3">
        <f t="shared" si="1"/>
        <v>471.07700000000011</v>
      </c>
      <c r="O21" s="3">
        <f>'Sep 2023'!T21</f>
        <v>2.649999999999995</v>
      </c>
      <c r="P21" s="3">
        <v>0</v>
      </c>
      <c r="Q21" s="3">
        <f>'Sep 2023'!Q21+'Oct-2023'!P21</f>
        <v>0</v>
      </c>
      <c r="R21" s="3">
        <v>0</v>
      </c>
      <c r="S21" s="3">
        <f>'Sep 2023'!S21+'Oct-2023'!R21</f>
        <v>16.239999999999998</v>
      </c>
      <c r="T21" s="3">
        <f t="shared" si="2"/>
        <v>2.649999999999995</v>
      </c>
      <c r="U21" s="3">
        <f t="shared" si="3"/>
        <v>474.92700000000008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'Sep 2023'!H22</f>
        <v>22.430000000000021</v>
      </c>
      <c r="D22" s="3">
        <v>0</v>
      </c>
      <c r="E22" s="3">
        <f>'Sep 2023'!E22+'Oct-2023'!D22</f>
        <v>0</v>
      </c>
      <c r="F22" s="3">
        <v>0</v>
      </c>
      <c r="G22" s="3">
        <f>'Sep 2023'!G22+'Oct-2023'!F22</f>
        <v>0</v>
      </c>
      <c r="H22" s="3">
        <f t="shared" si="0"/>
        <v>22.430000000000021</v>
      </c>
      <c r="I22" s="3">
        <f>'Sep 2023'!N22</f>
        <v>701.25</v>
      </c>
      <c r="J22" s="3">
        <v>0.49</v>
      </c>
      <c r="K22" s="3">
        <f>'Sep 2023'!K22+'Oct-2023'!J22</f>
        <v>3.5200000000000005</v>
      </c>
      <c r="L22" s="3">
        <v>0</v>
      </c>
      <c r="M22" s="3">
        <f>'Sep 2023'!M22+'Oct-2023'!L22</f>
        <v>0</v>
      </c>
      <c r="N22" s="3">
        <f t="shared" si="1"/>
        <v>701.74</v>
      </c>
      <c r="O22" s="3">
        <f>'Sep 2023'!T22</f>
        <v>0.60000000000000098</v>
      </c>
      <c r="P22" s="3">
        <v>0</v>
      </c>
      <c r="Q22" s="3">
        <f>'Sep 2023'!Q22+'Oct-2023'!P22</f>
        <v>0</v>
      </c>
      <c r="R22" s="3">
        <v>0</v>
      </c>
      <c r="S22" s="3">
        <f>'Sep 2023'!S22+'Oct-2023'!R22</f>
        <v>0</v>
      </c>
      <c r="T22" s="3">
        <f t="shared" si="2"/>
        <v>0.60000000000000098</v>
      </c>
      <c r="U22" s="3">
        <f t="shared" si="3"/>
        <v>724.7700000000001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'Sep 2023'!H23</f>
        <v>436.16999999999996</v>
      </c>
      <c r="D23" s="3">
        <v>0</v>
      </c>
      <c r="E23" s="3">
        <f>'Sep 2023'!E23+'Oct-2023'!D23</f>
        <v>36.53</v>
      </c>
      <c r="F23" s="3">
        <v>0</v>
      </c>
      <c r="G23" s="3">
        <f>'Sep 2023'!G23+'Oct-2023'!F23</f>
        <v>31</v>
      </c>
      <c r="H23" s="3">
        <f t="shared" si="0"/>
        <v>436.16999999999996</v>
      </c>
      <c r="I23" s="3">
        <f>'Sep 2023'!N23</f>
        <v>146.70499999999996</v>
      </c>
      <c r="J23" s="3">
        <v>0.37</v>
      </c>
      <c r="K23" s="3">
        <f>'Sep 2023'!K23+'Oct-2023'!J23</f>
        <v>7.5200000000000005</v>
      </c>
      <c r="L23" s="3">
        <v>0</v>
      </c>
      <c r="M23" s="3">
        <f>'Sep 2023'!M23+'Oct-2023'!L23</f>
        <v>0</v>
      </c>
      <c r="N23" s="3">
        <f t="shared" si="1"/>
        <v>147.07499999999996</v>
      </c>
      <c r="O23" s="3">
        <f>'Sep 2023'!T23</f>
        <v>22.5</v>
      </c>
      <c r="P23" s="3">
        <v>0</v>
      </c>
      <c r="Q23" s="3">
        <f>'Sep 2023'!Q23+'Oct-2023'!P23</f>
        <v>0</v>
      </c>
      <c r="R23" s="3">
        <v>0</v>
      </c>
      <c r="S23" s="3">
        <f>'Sep 2023'!S23+'Oct-2023'!R23</f>
        <v>0</v>
      </c>
      <c r="T23" s="3">
        <f t="shared" si="2"/>
        <v>22.5</v>
      </c>
      <c r="U23" s="3">
        <f t="shared" si="3"/>
        <v>605.74499999999989</v>
      </c>
      <c r="W23" s="90"/>
    </row>
    <row r="24" spans="1:23" s="4" customFormat="1" ht="38.25" customHeight="1">
      <c r="A24" s="34"/>
      <c r="B24" s="37" t="s">
        <v>30</v>
      </c>
      <c r="C24" s="5">
        <f>'Sep 2023'!H24</f>
        <v>1067.23</v>
      </c>
      <c r="D24" s="5">
        <f t="shared" ref="D24:U24" si="7">SUM(D20:D23)</f>
        <v>0</v>
      </c>
      <c r="E24" s="5">
        <f t="shared" si="7"/>
        <v>36.53</v>
      </c>
      <c r="F24" s="5">
        <f t="shared" si="7"/>
        <v>0</v>
      </c>
      <c r="G24" s="5">
        <f t="shared" si="7"/>
        <v>31.87</v>
      </c>
      <c r="H24" s="5">
        <f t="shared" si="7"/>
        <v>1067.23</v>
      </c>
      <c r="I24" s="5">
        <f>'Sep 2023'!N24</f>
        <v>2084.5800000000004</v>
      </c>
      <c r="J24" s="5">
        <f t="shared" si="7"/>
        <v>7.8900000000000006</v>
      </c>
      <c r="K24" s="5">
        <f t="shared" si="7"/>
        <v>44.900000000000006</v>
      </c>
      <c r="L24" s="5">
        <f t="shared" si="7"/>
        <v>0</v>
      </c>
      <c r="M24" s="5">
        <f t="shared" si="7"/>
        <v>0.04</v>
      </c>
      <c r="N24" s="5">
        <f t="shared" si="7"/>
        <v>2092.4700000000003</v>
      </c>
      <c r="O24" s="5">
        <f>'Sep 2023'!T24</f>
        <v>63.330000000000005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16.239999999999998</v>
      </c>
      <c r="T24" s="5">
        <f t="shared" si="7"/>
        <v>63.330000000000005</v>
      </c>
      <c r="U24" s="5">
        <f t="shared" si="7"/>
        <v>3223.03</v>
      </c>
    </row>
    <row r="25" spans="1:23" s="4" customFormat="1" ht="38.25" customHeight="1">
      <c r="A25" s="34"/>
      <c r="B25" s="37" t="s">
        <v>31</v>
      </c>
      <c r="C25" s="5">
        <f>'Sep 2023'!H25</f>
        <v>3952.7859999999996</v>
      </c>
      <c r="D25" s="5">
        <f t="shared" ref="D25:U25" si="8">D11+D15+D19+D24</f>
        <v>1.59</v>
      </c>
      <c r="E25" s="5">
        <f t="shared" si="8"/>
        <v>47.97</v>
      </c>
      <c r="F25" s="5">
        <f t="shared" si="8"/>
        <v>0.71</v>
      </c>
      <c r="G25" s="5">
        <f t="shared" si="8"/>
        <v>39.160000000000004</v>
      </c>
      <c r="H25" s="5">
        <f t="shared" si="8"/>
        <v>3953.6659999999997</v>
      </c>
      <c r="I25" s="5">
        <f>'Sep 2023'!N25</f>
        <v>9194.7430000000004</v>
      </c>
      <c r="J25" s="5">
        <f t="shared" si="8"/>
        <v>31.790000000000003</v>
      </c>
      <c r="K25" s="5">
        <f t="shared" si="8"/>
        <v>289.71299999999997</v>
      </c>
      <c r="L25" s="5">
        <f t="shared" si="8"/>
        <v>0</v>
      </c>
      <c r="M25" s="5">
        <f t="shared" si="8"/>
        <v>0.47</v>
      </c>
      <c r="N25" s="5">
        <f t="shared" si="8"/>
        <v>9226.5329999999994</v>
      </c>
      <c r="O25" s="5">
        <f>'Sep 2023'!T25</f>
        <v>465.26800000000009</v>
      </c>
      <c r="P25" s="5">
        <f t="shared" si="8"/>
        <v>0.11</v>
      </c>
      <c r="Q25" s="5">
        <f t="shared" si="8"/>
        <v>1.41</v>
      </c>
      <c r="R25" s="5">
        <f t="shared" si="8"/>
        <v>0</v>
      </c>
      <c r="S25" s="5">
        <f t="shared" si="8"/>
        <v>82.039999999999992</v>
      </c>
      <c r="T25" s="5">
        <f t="shared" si="8"/>
        <v>465.37799999999999</v>
      </c>
      <c r="U25" s="5">
        <f t="shared" si="8"/>
        <v>13645.577000000001</v>
      </c>
    </row>
    <row r="26" spans="1:23" ht="38.25" customHeight="1">
      <c r="A26" s="35">
        <v>15</v>
      </c>
      <c r="B26" s="38" t="s">
        <v>32</v>
      </c>
      <c r="C26" s="3">
        <f>'Sep 2023'!H26</f>
        <v>1661.7900000000002</v>
      </c>
      <c r="D26" s="3">
        <v>3.3</v>
      </c>
      <c r="E26" s="3">
        <f>'Sep 2023'!E26+'Oct-2023'!D26</f>
        <v>36.799999999999997</v>
      </c>
      <c r="F26" s="3">
        <v>0</v>
      </c>
      <c r="G26" s="3">
        <f>'Sep 2023'!G26+'Oct-2023'!F26</f>
        <v>0</v>
      </c>
      <c r="H26" s="3">
        <f t="shared" si="0"/>
        <v>1665.0900000000001</v>
      </c>
      <c r="I26" s="3">
        <f>'Sep 2023'!N26</f>
        <v>122.82000000000001</v>
      </c>
      <c r="J26" s="3">
        <v>0.1</v>
      </c>
      <c r="K26" s="3">
        <f>'Sep 2023'!K26+'Oct-2023'!J26</f>
        <v>1.37</v>
      </c>
      <c r="L26" s="3">
        <v>0</v>
      </c>
      <c r="M26" s="3">
        <f>'Sep 2023'!M26+'Oct-2023'!L26</f>
        <v>0</v>
      </c>
      <c r="N26" s="3">
        <f t="shared" si="1"/>
        <v>122.92</v>
      </c>
      <c r="O26" s="3">
        <f>'Sep 2023'!T26</f>
        <v>16.489999999999998</v>
      </c>
      <c r="P26" s="3">
        <v>0</v>
      </c>
      <c r="Q26" s="3">
        <f>'Sep 2023'!Q26+'Oct-2023'!P26</f>
        <v>0.12</v>
      </c>
      <c r="R26" s="3">
        <v>0</v>
      </c>
      <c r="S26" s="3">
        <f>'Sep 2023'!S26+'Oct-2023'!R26</f>
        <v>0</v>
      </c>
      <c r="T26" s="3">
        <f t="shared" si="2"/>
        <v>16.489999999999998</v>
      </c>
      <c r="U26" s="3">
        <f t="shared" si="3"/>
        <v>1804.5000000000002</v>
      </c>
    </row>
    <row r="27" spans="1:23" s="4" customFormat="1" ht="38.25" customHeight="1">
      <c r="A27" s="35">
        <v>16</v>
      </c>
      <c r="B27" s="38" t="s">
        <v>33</v>
      </c>
      <c r="C27" s="3">
        <f>'Sep 2023'!H27</f>
        <v>5727.6550000000043</v>
      </c>
      <c r="D27" s="3">
        <v>5.45</v>
      </c>
      <c r="E27" s="3">
        <f>'Sep 2023'!E27+'Oct-2023'!D27</f>
        <v>47.750000000000007</v>
      </c>
      <c r="F27" s="3">
        <v>0</v>
      </c>
      <c r="G27" s="3">
        <f>'Sep 2023'!G27+'Oct-2023'!F27</f>
        <v>0.02</v>
      </c>
      <c r="H27" s="3">
        <f t="shared" si="0"/>
        <v>5733.1050000000041</v>
      </c>
      <c r="I27" s="3">
        <f>'Sep 2023'!N27</f>
        <v>645.56799999999987</v>
      </c>
      <c r="J27" s="3">
        <v>2.14</v>
      </c>
      <c r="K27" s="3">
        <f>'Sep 2023'!K27+'Oct-2023'!J27</f>
        <v>13.549999999999999</v>
      </c>
      <c r="L27" s="3">
        <v>0</v>
      </c>
      <c r="M27" s="3">
        <f>'Sep 2023'!M27+'Oct-2023'!L27</f>
        <v>0.02</v>
      </c>
      <c r="N27" s="3">
        <f t="shared" si="1"/>
        <v>647.70799999999986</v>
      </c>
      <c r="O27" s="3">
        <f>'Sep 2023'!T27</f>
        <v>34.630000000000003</v>
      </c>
      <c r="P27" s="3">
        <v>0</v>
      </c>
      <c r="Q27" s="3">
        <f>'Sep 2023'!Q27+'Oct-2023'!P27</f>
        <v>0.83000000000000007</v>
      </c>
      <c r="R27" s="3">
        <v>0</v>
      </c>
      <c r="S27" s="3">
        <f>'Sep 2023'!S27+'Oct-2023'!R27</f>
        <v>0</v>
      </c>
      <c r="T27" s="3">
        <f t="shared" si="2"/>
        <v>34.630000000000003</v>
      </c>
      <c r="U27" s="3">
        <f t="shared" si="3"/>
        <v>6415.4430000000038</v>
      </c>
    </row>
    <row r="28" spans="1:23" s="4" customFormat="1" ht="38.25" customHeight="1">
      <c r="A28" s="34"/>
      <c r="B28" s="37" t="s">
        <v>34</v>
      </c>
      <c r="C28" s="5">
        <f>'Sep 2023'!H28</f>
        <v>7389.4450000000043</v>
      </c>
      <c r="D28" s="5">
        <f t="shared" ref="D28:U28" si="9">SUM(D26:D27)</f>
        <v>8.75</v>
      </c>
      <c r="E28" s="5">
        <f t="shared" si="9"/>
        <v>84.550000000000011</v>
      </c>
      <c r="F28" s="5">
        <f t="shared" si="9"/>
        <v>0</v>
      </c>
      <c r="G28" s="5">
        <f t="shared" si="9"/>
        <v>0.02</v>
      </c>
      <c r="H28" s="5">
        <f t="shared" si="9"/>
        <v>7398.1950000000043</v>
      </c>
      <c r="I28" s="5">
        <f>'Sep 2023'!N28</f>
        <v>768.38799999999992</v>
      </c>
      <c r="J28" s="5">
        <f t="shared" si="9"/>
        <v>2.2400000000000002</v>
      </c>
      <c r="K28" s="5">
        <f t="shared" si="9"/>
        <v>14.919999999999998</v>
      </c>
      <c r="L28" s="5">
        <f t="shared" si="9"/>
        <v>0</v>
      </c>
      <c r="M28" s="5">
        <f t="shared" si="9"/>
        <v>0.02</v>
      </c>
      <c r="N28" s="5">
        <f t="shared" si="9"/>
        <v>770.62799999999982</v>
      </c>
      <c r="O28" s="5">
        <f>'Sep 2023'!T28</f>
        <v>51.120000000000005</v>
      </c>
      <c r="P28" s="5">
        <f t="shared" si="9"/>
        <v>0</v>
      </c>
      <c r="Q28" s="5">
        <f t="shared" si="9"/>
        <v>0.95000000000000007</v>
      </c>
      <c r="R28" s="5">
        <f t="shared" si="9"/>
        <v>0</v>
      </c>
      <c r="S28" s="5">
        <f t="shared" si="9"/>
        <v>0</v>
      </c>
      <c r="T28" s="5">
        <f t="shared" si="9"/>
        <v>51.120000000000005</v>
      </c>
      <c r="U28" s="5">
        <f t="shared" si="9"/>
        <v>8219.9430000000048</v>
      </c>
    </row>
    <row r="29" spans="1:23" ht="38.25" customHeight="1">
      <c r="A29" s="35">
        <v>17</v>
      </c>
      <c r="B29" s="38" t="s">
        <v>35</v>
      </c>
      <c r="C29" s="3">
        <f>'Sep 2023'!H29</f>
        <v>5016.4280000000008</v>
      </c>
      <c r="D29" s="3">
        <v>4.38</v>
      </c>
      <c r="E29" s="3">
        <f>'Sep 2023'!E29+'Oct-2023'!D29</f>
        <v>139.77000000000001</v>
      </c>
      <c r="F29" s="3">
        <v>0</v>
      </c>
      <c r="G29" s="3">
        <f>'Sep 2023'!G29+'Oct-2023'!F29</f>
        <v>0</v>
      </c>
      <c r="H29" s="3">
        <f t="shared" si="0"/>
        <v>5020.8080000000009</v>
      </c>
      <c r="I29" s="3">
        <f>'Sep 2023'!N29</f>
        <v>123.06000000000002</v>
      </c>
      <c r="J29" s="3">
        <v>0.48</v>
      </c>
      <c r="K29" s="3">
        <f>'Sep 2023'!K29+'Oct-2023'!J29</f>
        <v>2.0099999999999998</v>
      </c>
      <c r="L29" s="3">
        <v>0</v>
      </c>
      <c r="M29" s="3">
        <f>'Sep 2023'!M29+'Oct-2023'!L29</f>
        <v>0</v>
      </c>
      <c r="N29" s="3">
        <f t="shared" si="1"/>
        <v>123.54000000000002</v>
      </c>
      <c r="O29" s="3">
        <f>'Sep 2023'!T29</f>
        <v>34.52000000000001</v>
      </c>
      <c r="P29" s="3">
        <v>0</v>
      </c>
      <c r="Q29" s="3">
        <f>'Sep 2023'!Q29+'Oct-2023'!P29</f>
        <v>0</v>
      </c>
      <c r="R29" s="3">
        <v>0</v>
      </c>
      <c r="S29" s="3">
        <f>'Sep 2023'!S29+'Oct-2023'!R29</f>
        <v>0</v>
      </c>
      <c r="T29" s="3">
        <f t="shared" si="2"/>
        <v>34.52000000000001</v>
      </c>
      <c r="U29" s="3">
        <f t="shared" si="3"/>
        <v>5178.8680000000013</v>
      </c>
      <c r="W29" s="89"/>
    </row>
    <row r="30" spans="1:23" ht="54.75" customHeight="1">
      <c r="A30" s="35">
        <v>18</v>
      </c>
      <c r="B30" s="38" t="s">
        <v>36</v>
      </c>
      <c r="C30" s="3">
        <f>'Sep 2023'!H30</f>
        <v>3744.7599999999993</v>
      </c>
      <c r="D30" s="3">
        <v>4.62</v>
      </c>
      <c r="E30" s="3">
        <f>'Sep 2023'!E30+'Oct-2023'!D30</f>
        <v>47.230000000000004</v>
      </c>
      <c r="F30" s="3">
        <v>0</v>
      </c>
      <c r="G30" s="3">
        <f>'Sep 2023'!G30+'Oct-2023'!F30</f>
        <v>0</v>
      </c>
      <c r="H30" s="3">
        <f t="shared" si="0"/>
        <v>3749.3799999999992</v>
      </c>
      <c r="I30" s="3">
        <f>'Sep 2023'!N30</f>
        <v>232.36699999999999</v>
      </c>
      <c r="J30" s="3">
        <v>0</v>
      </c>
      <c r="K30" s="3">
        <f>'Sep 2023'!K30+'Oct-2023'!J30</f>
        <v>33.78</v>
      </c>
      <c r="L30" s="3">
        <v>0</v>
      </c>
      <c r="M30" s="3">
        <f>'Sep 2023'!M30+'Oct-2023'!L30</f>
        <v>0</v>
      </c>
      <c r="N30" s="3">
        <f t="shared" si="1"/>
        <v>232.36699999999999</v>
      </c>
      <c r="O30" s="3">
        <f>'Sep 2023'!T30</f>
        <v>23.25</v>
      </c>
      <c r="P30" s="3">
        <v>0</v>
      </c>
      <c r="Q30" s="3">
        <f>'Sep 2023'!Q30+'Oct-2023'!P30</f>
        <v>0</v>
      </c>
      <c r="R30" s="3">
        <v>0</v>
      </c>
      <c r="S30" s="3">
        <f>'Sep 2023'!S30+'Oct-2023'!R30</f>
        <v>0</v>
      </c>
      <c r="T30" s="3">
        <f t="shared" si="2"/>
        <v>23.25</v>
      </c>
      <c r="U30" s="3">
        <f t="shared" si="3"/>
        <v>4004.9969999999994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'Sep 2023'!H31</f>
        <v>4711.5520000000015</v>
      </c>
      <c r="D31" s="3">
        <v>3.28</v>
      </c>
      <c r="E31" s="3">
        <f>'Sep 2023'!E31+'Oct-2023'!D31</f>
        <v>12.339999999999998</v>
      </c>
      <c r="F31" s="3">
        <v>0</v>
      </c>
      <c r="G31" s="3">
        <f>'Sep 2023'!G31+'Oct-2023'!F31</f>
        <v>0</v>
      </c>
      <c r="H31" s="3">
        <f t="shared" si="0"/>
        <v>4714.8320000000012</v>
      </c>
      <c r="I31" s="3">
        <f>'Sep 2023'!N31</f>
        <v>107.89500000000002</v>
      </c>
      <c r="J31" s="3">
        <v>0</v>
      </c>
      <c r="K31" s="3">
        <f>'Sep 2023'!K31+'Oct-2023'!J31</f>
        <v>0.20499999999999999</v>
      </c>
      <c r="L31" s="3">
        <v>0</v>
      </c>
      <c r="M31" s="3">
        <f>'Sep 2023'!M31+'Oct-2023'!L31</f>
        <v>0</v>
      </c>
      <c r="N31" s="3">
        <f t="shared" si="1"/>
        <v>107.89500000000002</v>
      </c>
      <c r="O31" s="3">
        <f>'Sep 2023'!T31</f>
        <v>14.850000000000001</v>
      </c>
      <c r="P31" s="3">
        <v>0</v>
      </c>
      <c r="Q31" s="3">
        <f>'Sep 2023'!Q31+'Oct-2023'!P31</f>
        <v>0</v>
      </c>
      <c r="R31" s="3">
        <v>0</v>
      </c>
      <c r="S31" s="3">
        <f>'Sep 2023'!S31+'Oct-2023'!R31</f>
        <v>0</v>
      </c>
      <c r="T31" s="3">
        <f t="shared" si="2"/>
        <v>14.850000000000001</v>
      </c>
      <c r="U31" s="3">
        <f t="shared" si="3"/>
        <v>4837.577000000002</v>
      </c>
      <c r="W31" s="89"/>
    </row>
    <row r="32" spans="1:23" ht="70.5" customHeight="1">
      <c r="A32" s="35">
        <v>20</v>
      </c>
      <c r="B32" s="38" t="s">
        <v>38</v>
      </c>
      <c r="C32" s="3">
        <f>'Sep 2023'!H32</f>
        <v>2380.9257999999991</v>
      </c>
      <c r="D32" s="3">
        <v>1.83</v>
      </c>
      <c r="E32" s="3">
        <f>'Sep 2023'!E32+'Oct-2023'!D32</f>
        <v>18.46</v>
      </c>
      <c r="F32" s="3">
        <v>0</v>
      </c>
      <c r="G32" s="3">
        <f>'Sep 2023'!G32+'Oct-2023'!F32</f>
        <v>9.73</v>
      </c>
      <c r="H32" s="3">
        <f t="shared" si="0"/>
        <v>2382.755799999999</v>
      </c>
      <c r="I32" s="3">
        <f>'Sep 2023'!N32</f>
        <v>109.38400000000003</v>
      </c>
      <c r="J32" s="3">
        <v>0.89</v>
      </c>
      <c r="K32" s="3">
        <f>'Sep 2023'!K32+'Oct-2023'!J32</f>
        <v>17.097999999999999</v>
      </c>
      <c r="L32" s="3">
        <v>0</v>
      </c>
      <c r="M32" s="3">
        <f>'Sep 2023'!M32+'Oct-2023'!L32</f>
        <v>0</v>
      </c>
      <c r="N32" s="3">
        <f t="shared" si="1"/>
        <v>110.27400000000003</v>
      </c>
      <c r="O32" s="3">
        <f>'Sep 2023'!T32</f>
        <v>67.551999999999992</v>
      </c>
      <c r="P32" s="3">
        <v>0</v>
      </c>
      <c r="Q32" s="3">
        <f>'Sep 2023'!Q32+'Oct-2023'!P32</f>
        <v>0</v>
      </c>
      <c r="R32" s="3">
        <v>0</v>
      </c>
      <c r="S32" s="3">
        <f>'Sep 2023'!S32+'Oct-2023'!R32</f>
        <v>0</v>
      </c>
      <c r="T32" s="3">
        <f t="shared" si="2"/>
        <v>67.551999999999992</v>
      </c>
      <c r="U32" s="3">
        <f t="shared" si="3"/>
        <v>2560.581799999999</v>
      </c>
      <c r="W32" s="89"/>
    </row>
    <row r="33" spans="1:23" s="4" customFormat="1" ht="38.25" customHeight="1">
      <c r="A33" s="34"/>
      <c r="B33" s="37" t="s">
        <v>39</v>
      </c>
      <c r="C33" s="5">
        <f>'Sep 2023'!H33</f>
        <v>15853.665800000001</v>
      </c>
      <c r="D33" s="5">
        <f t="shared" ref="D33:U33" si="10">SUM(D29:D32)</f>
        <v>14.11</v>
      </c>
      <c r="E33" s="5">
        <f t="shared" si="10"/>
        <v>217.8</v>
      </c>
      <c r="F33" s="5">
        <f t="shared" si="10"/>
        <v>0</v>
      </c>
      <c r="G33" s="5">
        <f t="shared" si="10"/>
        <v>9.73</v>
      </c>
      <c r="H33" s="5">
        <f t="shared" si="10"/>
        <v>15867.775799999999</v>
      </c>
      <c r="I33" s="5">
        <f>'Sep 2023'!N33</f>
        <v>572.70600000000013</v>
      </c>
      <c r="J33" s="5">
        <f t="shared" si="10"/>
        <v>1.37</v>
      </c>
      <c r="K33" s="5">
        <f t="shared" si="10"/>
        <v>53.092999999999996</v>
      </c>
      <c r="L33" s="5">
        <f t="shared" si="10"/>
        <v>0</v>
      </c>
      <c r="M33" s="5">
        <f t="shared" si="10"/>
        <v>0</v>
      </c>
      <c r="N33" s="5">
        <f t="shared" si="10"/>
        <v>574.07600000000014</v>
      </c>
      <c r="O33" s="5">
        <f>'Sep 2023'!T33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16582.023800000003</v>
      </c>
    </row>
    <row r="34" spans="1:23" ht="38.25" customHeight="1">
      <c r="A34" s="35">
        <v>21</v>
      </c>
      <c r="B34" s="38" t="s">
        <v>40</v>
      </c>
      <c r="C34" s="3">
        <f>'Sep 2023'!H34</f>
        <v>5566.0899999999992</v>
      </c>
      <c r="D34" s="3">
        <f>3.05+159.25</f>
        <v>162.30000000000001</v>
      </c>
      <c r="E34" s="3">
        <f>'Sep 2023'!E34+'Oct-2023'!D34</f>
        <v>1144.3599999999999</v>
      </c>
      <c r="F34" s="3">
        <v>0</v>
      </c>
      <c r="G34" s="3">
        <f>'Sep 2023'!G34+'Oct-2023'!F34</f>
        <v>2.72</v>
      </c>
      <c r="H34" s="3">
        <f t="shared" si="0"/>
        <v>5728.3899999999994</v>
      </c>
      <c r="I34" s="3">
        <f>'Sep 2023'!N34</f>
        <v>116.16999999999999</v>
      </c>
      <c r="J34" s="3">
        <v>0</v>
      </c>
      <c r="K34" s="3">
        <f>'Sep 2023'!K34+'Oct-2023'!J34</f>
        <v>8.09</v>
      </c>
      <c r="L34" s="3">
        <v>0</v>
      </c>
      <c r="M34" s="3">
        <f>'Sep 2023'!M34+'Oct-2023'!L34</f>
        <v>0</v>
      </c>
      <c r="N34" s="3">
        <f t="shared" si="1"/>
        <v>116.16999999999999</v>
      </c>
      <c r="O34" s="3">
        <f>'Sep 2023'!T34</f>
        <v>72.7</v>
      </c>
      <c r="P34" s="3">
        <v>0</v>
      </c>
      <c r="Q34" s="3">
        <f>'Sep 2023'!Q34+'Oct-2023'!P34</f>
        <v>0</v>
      </c>
      <c r="R34" s="3">
        <v>0</v>
      </c>
      <c r="S34" s="3">
        <f>'Sep 2023'!S34+'Oct-2023'!R34</f>
        <v>0</v>
      </c>
      <c r="T34" s="3">
        <f t="shared" si="2"/>
        <v>72.7</v>
      </c>
      <c r="U34" s="3">
        <f t="shared" si="3"/>
        <v>5917.2599999999993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'Sep 2023'!H35</f>
        <v>6860.7999999999975</v>
      </c>
      <c r="D35" s="3">
        <f>8.7+9</f>
        <v>17.7</v>
      </c>
      <c r="E35" s="3">
        <f>'Sep 2023'!E35+'Oct-2023'!D35</f>
        <v>194.88</v>
      </c>
      <c r="F35" s="3">
        <v>0</v>
      </c>
      <c r="G35" s="3">
        <f>'Sep 2023'!G35+'Oct-2023'!F35</f>
        <v>0</v>
      </c>
      <c r="H35" s="3">
        <f t="shared" si="0"/>
        <v>6878.4999999999973</v>
      </c>
      <c r="I35" s="3">
        <f>'Sep 2023'!N35</f>
        <v>34.17</v>
      </c>
      <c r="J35" s="3">
        <v>0</v>
      </c>
      <c r="K35" s="3">
        <f>'Sep 2023'!K35+'Oct-2023'!J35</f>
        <v>0.04</v>
      </c>
      <c r="L35" s="3">
        <v>0</v>
      </c>
      <c r="M35" s="3">
        <f>'Sep 2023'!M35+'Oct-2023'!L35</f>
        <v>0</v>
      </c>
      <c r="N35" s="3">
        <f t="shared" si="1"/>
        <v>34.17</v>
      </c>
      <c r="O35" s="3">
        <f>'Sep 2023'!T35</f>
        <v>90.800000000000011</v>
      </c>
      <c r="P35" s="3">
        <v>0</v>
      </c>
      <c r="Q35" s="3">
        <f>'Sep 2023'!Q35+'Oct-2023'!P35</f>
        <v>0</v>
      </c>
      <c r="R35" s="3">
        <v>0</v>
      </c>
      <c r="S35" s="3">
        <f>'Sep 2023'!S35+'Oct-2023'!R35</f>
        <v>0</v>
      </c>
      <c r="T35" s="3">
        <f t="shared" si="2"/>
        <v>90.800000000000011</v>
      </c>
      <c r="U35" s="3">
        <f t="shared" si="3"/>
        <v>7003.4699999999975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'Sep 2023'!H36</f>
        <v>6721.07</v>
      </c>
      <c r="D36" s="3">
        <f>80.26+489.65</f>
        <v>569.91</v>
      </c>
      <c r="E36" s="3">
        <f>'Sep 2023'!E36+'Oct-2023'!D36</f>
        <v>3593.32</v>
      </c>
      <c r="F36" s="3">
        <v>0</v>
      </c>
      <c r="G36" s="3">
        <f>'Sep 2023'!G36+'Oct-2023'!F36</f>
        <v>0</v>
      </c>
      <c r="H36" s="3">
        <f t="shared" si="0"/>
        <v>7290.98</v>
      </c>
      <c r="I36" s="3">
        <f>'Sep 2023'!N36</f>
        <v>30.53000000000004</v>
      </c>
      <c r="J36" s="3">
        <v>0.54</v>
      </c>
      <c r="K36" s="3">
        <f>'Sep 2023'!K36+'Oct-2023'!J36</f>
        <v>0.82000000000000006</v>
      </c>
      <c r="L36" s="3">
        <v>0</v>
      </c>
      <c r="M36" s="3">
        <f>'Sep 2023'!M36+'Oct-2023'!L36</f>
        <v>0</v>
      </c>
      <c r="N36" s="3">
        <f t="shared" si="1"/>
        <v>31.070000000000039</v>
      </c>
      <c r="O36" s="3">
        <f>'Sep 2023'!T36</f>
        <v>36.379999999999995</v>
      </c>
      <c r="P36" s="3">
        <v>0</v>
      </c>
      <c r="Q36" s="3">
        <f>'Sep 2023'!Q36+'Oct-2023'!P36</f>
        <v>0</v>
      </c>
      <c r="R36" s="3">
        <v>0</v>
      </c>
      <c r="S36" s="3">
        <f>'Sep 2023'!S36+'Oct-2023'!R36</f>
        <v>0</v>
      </c>
      <c r="T36" s="3">
        <f t="shared" si="2"/>
        <v>36.379999999999995</v>
      </c>
      <c r="U36" s="3">
        <f t="shared" si="3"/>
        <v>7358.4299999999994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'Sep 2023'!H37</f>
        <v>5196.0899999999992</v>
      </c>
      <c r="D37" s="3">
        <v>1.65</v>
      </c>
      <c r="E37" s="3">
        <f>'Sep 2023'!E37+'Oct-2023'!D37</f>
        <v>103.23</v>
      </c>
      <c r="F37" s="3">
        <v>0</v>
      </c>
      <c r="G37" s="3">
        <f>'Sep 2023'!G37+'Oct-2023'!F37</f>
        <v>0</v>
      </c>
      <c r="H37" s="3">
        <f t="shared" si="0"/>
        <v>5197.7399999999989</v>
      </c>
      <c r="I37" s="3">
        <f>'Sep 2023'!N37</f>
        <v>26.700000000000003</v>
      </c>
      <c r="J37" s="3">
        <v>0</v>
      </c>
      <c r="K37" s="3">
        <f>'Sep 2023'!K37+'Oct-2023'!J37</f>
        <v>0</v>
      </c>
      <c r="L37" s="3">
        <v>0</v>
      </c>
      <c r="M37" s="3">
        <f>'Sep 2023'!M37+'Oct-2023'!L37</f>
        <v>0</v>
      </c>
      <c r="N37" s="3">
        <f t="shared" si="1"/>
        <v>26.700000000000003</v>
      </c>
      <c r="O37" s="3">
        <f>'Sep 2023'!T37</f>
        <v>3.0599999999999996</v>
      </c>
      <c r="P37" s="3">
        <v>0</v>
      </c>
      <c r="Q37" s="3">
        <f>'Sep 2023'!Q37+'Oct-2023'!P37</f>
        <v>0</v>
      </c>
      <c r="R37" s="3">
        <v>0</v>
      </c>
      <c r="S37" s="3">
        <f>'Sep 2023'!S37+'Oct-2023'!R37</f>
        <v>0</v>
      </c>
      <c r="T37" s="3">
        <f t="shared" si="2"/>
        <v>3.0599999999999996</v>
      </c>
      <c r="U37" s="3">
        <f t="shared" si="3"/>
        <v>5227.4999999999991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'Sep 2023'!H38</f>
        <v>24344.049999999996</v>
      </c>
      <c r="D38" s="5">
        <f t="shared" ref="D38:U38" si="11">SUM(D34:D37)</f>
        <v>751.56</v>
      </c>
      <c r="E38" s="5">
        <f t="shared" si="11"/>
        <v>5035.7899999999991</v>
      </c>
      <c r="F38" s="5">
        <f t="shared" si="11"/>
        <v>0</v>
      </c>
      <c r="G38" s="5">
        <f t="shared" si="11"/>
        <v>2.72</v>
      </c>
      <c r="H38" s="5">
        <f t="shared" si="11"/>
        <v>25095.609999999993</v>
      </c>
      <c r="I38" s="5">
        <f>'Sep 2023'!N38</f>
        <v>207.57</v>
      </c>
      <c r="J38" s="5">
        <f t="shared" si="11"/>
        <v>0.54</v>
      </c>
      <c r="K38" s="5">
        <f t="shared" si="11"/>
        <v>8.9499999999999993</v>
      </c>
      <c r="L38" s="5">
        <f t="shared" si="11"/>
        <v>0</v>
      </c>
      <c r="M38" s="5">
        <f t="shared" si="11"/>
        <v>0</v>
      </c>
      <c r="N38" s="5">
        <f t="shared" si="11"/>
        <v>208.11</v>
      </c>
      <c r="O38" s="5">
        <f>'Sep 2023'!T38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25506.659999999996</v>
      </c>
    </row>
    <row r="39" spans="1:23" s="4" customFormat="1" ht="38.25" customHeight="1">
      <c r="A39" s="34"/>
      <c r="B39" s="37" t="s">
        <v>45</v>
      </c>
      <c r="C39" s="5">
        <f>'Sep 2023'!H39</f>
        <v>47587.160800000005</v>
      </c>
      <c r="D39" s="5">
        <f t="shared" ref="D39:U39" si="12">D28+D33+D38</f>
        <v>774.42</v>
      </c>
      <c r="E39" s="5">
        <f t="shared" si="12"/>
        <v>5338.1399999999994</v>
      </c>
      <c r="F39" s="5">
        <f t="shared" si="12"/>
        <v>0</v>
      </c>
      <c r="G39" s="5">
        <f t="shared" si="12"/>
        <v>12.47</v>
      </c>
      <c r="H39" s="5">
        <f t="shared" si="12"/>
        <v>48361.580799999996</v>
      </c>
      <c r="I39" s="5">
        <f>'Sep 2023'!N39</f>
        <v>1548.664</v>
      </c>
      <c r="J39" s="5">
        <f t="shared" si="12"/>
        <v>4.1500000000000004</v>
      </c>
      <c r="K39" s="5">
        <f t="shared" si="12"/>
        <v>76.962999999999994</v>
      </c>
      <c r="L39" s="5">
        <f t="shared" si="12"/>
        <v>0</v>
      </c>
      <c r="M39" s="5">
        <f t="shared" si="12"/>
        <v>0.02</v>
      </c>
      <c r="N39" s="5">
        <f t="shared" si="12"/>
        <v>1552.8139999999999</v>
      </c>
      <c r="O39" s="5">
        <f>'Sep 2023'!T39</f>
        <v>394.23199999999997</v>
      </c>
      <c r="P39" s="5">
        <f t="shared" si="12"/>
        <v>0</v>
      </c>
      <c r="Q39" s="5">
        <f t="shared" si="12"/>
        <v>0.95000000000000007</v>
      </c>
      <c r="R39" s="5">
        <f t="shared" si="12"/>
        <v>0</v>
      </c>
      <c r="S39" s="5">
        <f t="shared" si="12"/>
        <v>0</v>
      </c>
      <c r="T39" s="5">
        <f t="shared" si="12"/>
        <v>394.23199999999997</v>
      </c>
      <c r="U39" s="5">
        <f t="shared" si="12"/>
        <v>50308.626800000005</v>
      </c>
    </row>
    <row r="40" spans="1:23" ht="38.25" customHeight="1">
      <c r="A40" s="35">
        <v>25</v>
      </c>
      <c r="B40" s="38" t="s">
        <v>46</v>
      </c>
      <c r="C40" s="3">
        <f>'Sep 2023'!H40</f>
        <v>13325.403999999997</v>
      </c>
      <c r="D40" s="3">
        <f>3.25+232.46</f>
        <v>235.71</v>
      </c>
      <c r="E40" s="3">
        <f>'Sep 2023'!E40+'Oct-2023'!D40</f>
        <v>1703.4900000000002</v>
      </c>
      <c r="F40" s="3">
        <v>0</v>
      </c>
      <c r="G40" s="3">
        <f>'Sep 2023'!G40+'Oct-2023'!F40</f>
        <v>0</v>
      </c>
      <c r="H40" s="3">
        <f t="shared" si="0"/>
        <v>13561.113999999996</v>
      </c>
      <c r="I40" s="3">
        <f>'Sep 2023'!N40</f>
        <v>198.73</v>
      </c>
      <c r="J40" s="3">
        <v>0</v>
      </c>
      <c r="K40" s="3">
        <f>'Sep 2023'!K40+'Oct-2023'!J40</f>
        <v>0</v>
      </c>
      <c r="L40" s="3">
        <v>0</v>
      </c>
      <c r="M40" s="3">
        <f>'Sep 2023'!M40+'Oct-2023'!L40</f>
        <v>0</v>
      </c>
      <c r="N40" s="3">
        <f t="shared" si="1"/>
        <v>198.73</v>
      </c>
      <c r="O40" s="3">
        <f>'Sep 2023'!T40</f>
        <v>106.93</v>
      </c>
      <c r="P40" s="3">
        <v>0</v>
      </c>
      <c r="Q40" s="3">
        <f>'Sep 2023'!Q40+'Oct-2023'!P40</f>
        <v>0</v>
      </c>
      <c r="R40" s="3">
        <v>0</v>
      </c>
      <c r="S40" s="3">
        <f>'Sep 2023'!S40+'Oct-2023'!R40</f>
        <v>0</v>
      </c>
      <c r="T40" s="3">
        <f t="shared" si="2"/>
        <v>106.93</v>
      </c>
      <c r="U40" s="3">
        <f t="shared" si="3"/>
        <v>13866.773999999996</v>
      </c>
    </row>
    <row r="41" spans="1:23" ht="38.25" customHeight="1">
      <c r="A41" s="35">
        <v>26</v>
      </c>
      <c r="B41" s="38" t="s">
        <v>47</v>
      </c>
      <c r="C41" s="3">
        <f>'Sep 2023'!H41</f>
        <v>8838.2989999999936</v>
      </c>
      <c r="D41" s="3">
        <f>4.54+43.81</f>
        <v>48.35</v>
      </c>
      <c r="E41" s="3">
        <f>'Sep 2023'!E41+'Oct-2023'!D41</f>
        <v>439.25</v>
      </c>
      <c r="F41" s="3">
        <v>0</v>
      </c>
      <c r="G41" s="3">
        <f>'Sep 2023'!G41+'Oct-2023'!F41</f>
        <v>0</v>
      </c>
      <c r="H41" s="3">
        <f t="shared" si="0"/>
        <v>8886.648999999994</v>
      </c>
      <c r="I41" s="3">
        <f>'Sep 2023'!N41</f>
        <v>8.67</v>
      </c>
      <c r="J41" s="3">
        <v>0</v>
      </c>
      <c r="K41" s="3">
        <f>'Sep 2023'!K41+'Oct-2023'!J41</f>
        <v>0</v>
      </c>
      <c r="L41" s="3">
        <v>0</v>
      </c>
      <c r="M41" s="3">
        <f>'Sep 2023'!M41+'Oct-2023'!L41</f>
        <v>0</v>
      </c>
      <c r="N41" s="3">
        <f t="shared" si="1"/>
        <v>8.67</v>
      </c>
      <c r="O41" s="3">
        <f>'Sep 2023'!T41</f>
        <v>141.29000000000002</v>
      </c>
      <c r="P41" s="3">
        <v>0</v>
      </c>
      <c r="Q41" s="3">
        <f>'Sep 2023'!Q41+'Oct-2023'!P41</f>
        <v>0</v>
      </c>
      <c r="R41" s="3">
        <v>0</v>
      </c>
      <c r="S41" s="3">
        <f>'Sep 2023'!S41+'Oct-2023'!R41</f>
        <v>0</v>
      </c>
      <c r="T41" s="3">
        <f t="shared" si="2"/>
        <v>141.29000000000002</v>
      </c>
      <c r="U41" s="3">
        <f t="shared" si="3"/>
        <v>9036.6089999999949</v>
      </c>
    </row>
    <row r="42" spans="1:23" s="4" customFormat="1" ht="38.25" customHeight="1">
      <c r="A42" s="35">
        <v>27</v>
      </c>
      <c r="B42" s="38" t="s">
        <v>48</v>
      </c>
      <c r="C42" s="3">
        <f>'Sep 2023'!H42</f>
        <v>15663.727999999996</v>
      </c>
      <c r="D42" s="3">
        <f>20.39+266.11</f>
        <v>286.5</v>
      </c>
      <c r="E42" s="3">
        <f>'Sep 2023'!E42+'Oct-2023'!D42</f>
        <v>1996.5550000000003</v>
      </c>
      <c r="F42" s="3">
        <v>0</v>
      </c>
      <c r="G42" s="3">
        <f>'Sep 2023'!G42+'Oct-2023'!F42</f>
        <v>0</v>
      </c>
      <c r="H42" s="3">
        <f t="shared" si="0"/>
        <v>15950.227999999996</v>
      </c>
      <c r="I42" s="3">
        <f>'Sep 2023'!N42</f>
        <v>15.62</v>
      </c>
      <c r="J42" s="3">
        <v>0</v>
      </c>
      <c r="K42" s="3">
        <f>'Sep 2023'!K42+'Oct-2023'!J42</f>
        <v>0</v>
      </c>
      <c r="L42" s="3">
        <v>0</v>
      </c>
      <c r="M42" s="3">
        <f>'Sep 2023'!M42+'Oct-2023'!L42</f>
        <v>0</v>
      </c>
      <c r="N42" s="3">
        <f t="shared" si="1"/>
        <v>15.62</v>
      </c>
      <c r="O42" s="3">
        <f>'Sep 2023'!T42</f>
        <v>205.35</v>
      </c>
      <c r="P42" s="3">
        <v>0</v>
      </c>
      <c r="Q42" s="3">
        <f>'Sep 2023'!Q42+'Oct-2023'!P42</f>
        <v>0</v>
      </c>
      <c r="R42" s="3">
        <v>0</v>
      </c>
      <c r="S42" s="3">
        <f>'Sep 2023'!S42+'Oct-2023'!R42</f>
        <v>0</v>
      </c>
      <c r="T42" s="3">
        <f t="shared" si="2"/>
        <v>205.35</v>
      </c>
      <c r="U42" s="3">
        <f t="shared" si="3"/>
        <v>16171.197999999997</v>
      </c>
    </row>
    <row r="43" spans="1:23" ht="38.25" customHeight="1">
      <c r="A43" s="35">
        <v>28</v>
      </c>
      <c r="B43" s="38" t="s">
        <v>49</v>
      </c>
      <c r="C43" s="3">
        <f>'Sep 2023'!H43</f>
        <v>4578.2700000000013</v>
      </c>
      <c r="D43" s="3">
        <f>8.09+39.35</f>
        <v>47.44</v>
      </c>
      <c r="E43" s="3">
        <f>'Sep 2023'!E43+'Oct-2023'!D43</f>
        <v>423.75</v>
      </c>
      <c r="F43" s="3">
        <v>0</v>
      </c>
      <c r="G43" s="3">
        <f>'Sep 2023'!G43+'Oct-2023'!F43</f>
        <v>0</v>
      </c>
      <c r="H43" s="3">
        <f t="shared" si="0"/>
        <v>4625.7100000000009</v>
      </c>
      <c r="I43" s="3">
        <f>'Sep 2023'!N43</f>
        <v>3.5</v>
      </c>
      <c r="J43" s="3">
        <v>0</v>
      </c>
      <c r="K43" s="3">
        <f>'Sep 2023'!K43+'Oct-2023'!J43</f>
        <v>0</v>
      </c>
      <c r="L43" s="3">
        <v>0</v>
      </c>
      <c r="M43" s="3">
        <f>'Sep 2023'!M43+'Oct-2023'!L43</f>
        <v>0</v>
      </c>
      <c r="N43" s="3">
        <f t="shared" si="1"/>
        <v>3.5</v>
      </c>
      <c r="O43" s="3">
        <f>'Sep 2023'!T43</f>
        <v>29.8</v>
      </c>
      <c r="P43" s="3">
        <v>0</v>
      </c>
      <c r="Q43" s="3">
        <f>'Sep 2023'!Q43+'Oct-2023'!P43</f>
        <v>0</v>
      </c>
      <c r="R43" s="3">
        <v>0</v>
      </c>
      <c r="S43" s="3">
        <f>'Sep 2023'!S43+'Oct-2023'!R43</f>
        <v>0</v>
      </c>
      <c r="T43" s="3">
        <f t="shared" si="2"/>
        <v>29.8</v>
      </c>
      <c r="U43" s="3">
        <f t="shared" si="3"/>
        <v>4659.0100000000011</v>
      </c>
    </row>
    <row r="44" spans="1:23" s="4" customFormat="1" ht="38.25" customHeight="1">
      <c r="A44" s="34"/>
      <c r="B44" s="37" t="s">
        <v>50</v>
      </c>
      <c r="C44" s="5">
        <f>'Sep 2023'!H44</f>
        <v>42405.700999999986</v>
      </c>
      <c r="D44" s="5">
        <f t="shared" ref="D44:U44" si="13">SUM(D40:D43)</f>
        <v>618</v>
      </c>
      <c r="E44" s="5">
        <f t="shared" si="13"/>
        <v>4563.0450000000001</v>
      </c>
      <c r="F44" s="5">
        <f t="shared" si="13"/>
        <v>0</v>
      </c>
      <c r="G44" s="5">
        <f t="shared" si="13"/>
        <v>0</v>
      </c>
      <c r="H44" s="5">
        <f t="shared" si="13"/>
        <v>43023.700999999986</v>
      </c>
      <c r="I44" s="5">
        <f>'Sep 2023'!N44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'Sep 2023'!T44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43733.590999999993</v>
      </c>
    </row>
    <row r="45" spans="1:23" ht="38.25" customHeight="1">
      <c r="A45" s="35">
        <v>29</v>
      </c>
      <c r="B45" s="38" t="s">
        <v>51</v>
      </c>
      <c r="C45" s="3">
        <f>'Sep 2023'!H45</f>
        <v>8473.672099999998</v>
      </c>
      <c r="D45" s="3">
        <v>7.08</v>
      </c>
      <c r="E45" s="3">
        <f>'Sep 2023'!E45+'Oct-2023'!D45</f>
        <v>116.94</v>
      </c>
      <c r="F45" s="3">
        <v>0</v>
      </c>
      <c r="G45" s="3">
        <f>'Sep 2023'!G45+'Oct-2023'!F45</f>
        <v>0</v>
      </c>
      <c r="H45" s="3">
        <f t="shared" si="0"/>
        <v>8480.7520999999979</v>
      </c>
      <c r="I45" s="3">
        <f>'Sep 2023'!N45</f>
        <v>261.49999999999994</v>
      </c>
      <c r="J45" s="3">
        <v>0.06</v>
      </c>
      <c r="K45" s="3">
        <f>'Sep 2023'!K45+'Oct-2023'!J45</f>
        <v>0.51</v>
      </c>
      <c r="L45" s="3">
        <v>0</v>
      </c>
      <c r="M45" s="3">
        <f>'Sep 2023'!M45+'Oct-2023'!L45</f>
        <v>0</v>
      </c>
      <c r="N45" s="3">
        <f t="shared" si="1"/>
        <v>261.55999999999995</v>
      </c>
      <c r="O45" s="3">
        <f>'Sep 2023'!T45</f>
        <v>84.53</v>
      </c>
      <c r="P45" s="3">
        <v>0</v>
      </c>
      <c r="Q45" s="3">
        <f>'Sep 2023'!Q45+'Oct-2023'!P45</f>
        <v>0.14000000000000001</v>
      </c>
      <c r="R45" s="3">
        <v>0</v>
      </c>
      <c r="S45" s="3">
        <f>'Sep 2023'!S45+'Oct-2023'!R45</f>
        <v>0</v>
      </c>
      <c r="T45" s="3">
        <f t="shared" si="2"/>
        <v>84.53</v>
      </c>
      <c r="U45" s="3">
        <f t="shared" si="3"/>
        <v>8826.842099999998</v>
      </c>
    </row>
    <row r="46" spans="1:23" ht="38.25" customHeight="1">
      <c r="A46" s="35">
        <v>30</v>
      </c>
      <c r="B46" s="38" t="s">
        <v>52</v>
      </c>
      <c r="C46" s="3">
        <f>'Sep 2023'!H46</f>
        <v>8110.3250000000016</v>
      </c>
      <c r="D46" s="3">
        <v>13.73</v>
      </c>
      <c r="E46" s="3">
        <f>'Sep 2023'!E46+'Oct-2023'!D46</f>
        <v>176.82</v>
      </c>
      <c r="F46" s="3">
        <v>0</v>
      </c>
      <c r="G46" s="3">
        <f>'Sep 2023'!G46+'Oct-2023'!F46</f>
        <v>0</v>
      </c>
      <c r="H46" s="3">
        <f t="shared" si="0"/>
        <v>8124.0550000000012</v>
      </c>
      <c r="I46" s="3">
        <f>'Sep 2023'!N46</f>
        <v>0</v>
      </c>
      <c r="J46" s="3">
        <v>0</v>
      </c>
      <c r="K46" s="3">
        <f>'Sep 2023'!K46+'Oct-2023'!J46</f>
        <v>0</v>
      </c>
      <c r="L46" s="3">
        <v>0</v>
      </c>
      <c r="M46" s="3">
        <f>'Sep 2023'!M46+'Oct-2023'!L46</f>
        <v>0</v>
      </c>
      <c r="N46" s="3">
        <f t="shared" si="1"/>
        <v>0</v>
      </c>
      <c r="O46" s="3">
        <f>'Sep 2023'!T46</f>
        <v>47.03</v>
      </c>
      <c r="P46" s="3">
        <v>0</v>
      </c>
      <c r="Q46" s="3">
        <f>'Sep 2023'!Q46+'Oct-2023'!P46</f>
        <v>0</v>
      </c>
      <c r="R46" s="3">
        <v>0</v>
      </c>
      <c r="S46" s="3">
        <f>'Sep 2023'!S46+'Oct-2023'!R46</f>
        <v>0</v>
      </c>
      <c r="T46" s="3">
        <f t="shared" si="2"/>
        <v>47.03</v>
      </c>
      <c r="U46" s="3">
        <f t="shared" si="3"/>
        <v>8171.0850000000009</v>
      </c>
    </row>
    <row r="47" spans="1:23" s="4" customFormat="1" ht="38.25" customHeight="1">
      <c r="A47" s="35">
        <v>31</v>
      </c>
      <c r="B47" s="38" t="s">
        <v>53</v>
      </c>
      <c r="C47" s="3">
        <f>'Sep 2023'!H47</f>
        <v>9363.8299999999945</v>
      </c>
      <c r="D47" s="3">
        <v>5.34</v>
      </c>
      <c r="E47" s="3">
        <f>'Sep 2023'!E47+'Oct-2023'!D47</f>
        <v>291.46999999999991</v>
      </c>
      <c r="F47" s="3">
        <v>0</v>
      </c>
      <c r="G47" s="3">
        <f>'Sep 2023'!G47+'Oct-2023'!F47</f>
        <v>0</v>
      </c>
      <c r="H47" s="3">
        <f t="shared" si="0"/>
        <v>9369.1699999999946</v>
      </c>
      <c r="I47" s="3">
        <f>'Sep 2023'!N47</f>
        <v>3.13</v>
      </c>
      <c r="J47" s="3">
        <v>0</v>
      </c>
      <c r="K47" s="3">
        <f>'Sep 2023'!K47+'Oct-2023'!J47</f>
        <v>0</v>
      </c>
      <c r="L47" s="3">
        <v>0</v>
      </c>
      <c r="M47" s="3">
        <f>'Sep 2023'!M47+'Oct-2023'!L47</f>
        <v>0</v>
      </c>
      <c r="N47" s="3">
        <f t="shared" si="1"/>
        <v>3.13</v>
      </c>
      <c r="O47" s="3">
        <f>'Sep 2023'!T47</f>
        <v>118.94999999999999</v>
      </c>
      <c r="P47" s="3">
        <v>0</v>
      </c>
      <c r="Q47" s="3">
        <f>'Sep 2023'!Q47+'Oct-2023'!P47</f>
        <v>0</v>
      </c>
      <c r="R47" s="3">
        <v>0</v>
      </c>
      <c r="S47" s="3">
        <f>'Sep 2023'!S47+'Oct-2023'!R47</f>
        <v>0</v>
      </c>
      <c r="T47" s="3">
        <f t="shared" si="2"/>
        <v>118.94999999999999</v>
      </c>
      <c r="U47" s="3">
        <f t="shared" si="3"/>
        <v>9491.2499999999945</v>
      </c>
    </row>
    <row r="48" spans="1:23" s="4" customFormat="1" ht="38.25" customHeight="1">
      <c r="A48" s="35">
        <v>32</v>
      </c>
      <c r="B48" s="38" t="s">
        <v>54</v>
      </c>
      <c r="C48" s="3">
        <f>'Sep 2023'!H48</f>
        <v>8647.8489999999983</v>
      </c>
      <c r="D48" s="3">
        <v>9.52</v>
      </c>
      <c r="E48" s="3">
        <f>'Sep 2023'!E48+'Oct-2023'!D48</f>
        <v>51.42</v>
      </c>
      <c r="F48" s="3">
        <v>0</v>
      </c>
      <c r="G48" s="3">
        <f>'Sep 2023'!G48+'Oct-2023'!F48</f>
        <v>0</v>
      </c>
      <c r="H48" s="3">
        <f t="shared" si="0"/>
        <v>8657.3689999999988</v>
      </c>
      <c r="I48" s="3">
        <f>'Sep 2023'!N48</f>
        <v>5.0249999999999995</v>
      </c>
      <c r="J48" s="3">
        <v>0</v>
      </c>
      <c r="K48" s="3">
        <f>'Sep 2023'!K48+'Oct-2023'!J48</f>
        <v>0</v>
      </c>
      <c r="L48" s="3">
        <v>0</v>
      </c>
      <c r="M48" s="3">
        <f>'Sep 2023'!M48+'Oct-2023'!L48</f>
        <v>0</v>
      </c>
      <c r="N48" s="3">
        <f t="shared" si="1"/>
        <v>5.0249999999999995</v>
      </c>
      <c r="O48" s="3">
        <f>'Sep 2023'!T48</f>
        <v>4.21</v>
      </c>
      <c r="P48" s="3">
        <v>0</v>
      </c>
      <c r="Q48" s="3">
        <f>'Sep 2023'!Q48+'Oct-2023'!P48</f>
        <v>0</v>
      </c>
      <c r="R48" s="3">
        <v>0</v>
      </c>
      <c r="S48" s="3">
        <f>'Sep 2023'!S48+'Oct-2023'!R48</f>
        <v>0</v>
      </c>
      <c r="T48" s="3">
        <f t="shared" si="2"/>
        <v>4.21</v>
      </c>
      <c r="U48" s="3">
        <f t="shared" si="3"/>
        <v>8666.6039999999975</v>
      </c>
    </row>
    <row r="49" spans="1:24" s="4" customFormat="1" ht="38.25" customHeight="1">
      <c r="A49" s="34"/>
      <c r="B49" s="37" t="s">
        <v>55</v>
      </c>
      <c r="C49" s="5">
        <f>'Sep 2023'!H49</f>
        <v>34595.676099999997</v>
      </c>
      <c r="D49" s="5">
        <f t="shared" ref="D49:U49" si="14">SUM(D45:D48)</f>
        <v>35.67</v>
      </c>
      <c r="E49" s="5">
        <f t="shared" si="14"/>
        <v>636.64999999999986</v>
      </c>
      <c r="F49" s="5">
        <f t="shared" si="14"/>
        <v>0</v>
      </c>
      <c r="G49" s="5">
        <f t="shared" si="14"/>
        <v>0</v>
      </c>
      <c r="H49" s="5">
        <f t="shared" si="14"/>
        <v>34631.346099999995</v>
      </c>
      <c r="I49" s="5">
        <f>'Sep 2023'!N49</f>
        <v>269.65499999999992</v>
      </c>
      <c r="J49" s="5">
        <f t="shared" si="14"/>
        <v>0.06</v>
      </c>
      <c r="K49" s="5">
        <f t="shared" si="14"/>
        <v>0.51</v>
      </c>
      <c r="L49" s="5">
        <f t="shared" si="14"/>
        <v>0</v>
      </c>
      <c r="M49" s="5">
        <f t="shared" si="14"/>
        <v>0</v>
      </c>
      <c r="N49" s="5">
        <f t="shared" si="14"/>
        <v>269.71499999999992</v>
      </c>
      <c r="O49" s="5">
        <f>'Sep 2023'!T49</f>
        <v>254.72</v>
      </c>
      <c r="P49" s="5">
        <f t="shared" si="14"/>
        <v>0</v>
      </c>
      <c r="Q49" s="5">
        <f t="shared" si="14"/>
        <v>0.14000000000000001</v>
      </c>
      <c r="R49" s="5">
        <f t="shared" si="14"/>
        <v>0</v>
      </c>
      <c r="S49" s="5">
        <f t="shared" si="14"/>
        <v>0</v>
      </c>
      <c r="T49" s="5">
        <f t="shared" si="14"/>
        <v>254.72</v>
      </c>
      <c r="U49" s="5">
        <f t="shared" si="14"/>
        <v>35155.781099999993</v>
      </c>
    </row>
    <row r="50" spans="1:24" s="4" customFormat="1" ht="38.25" customHeight="1">
      <c r="A50" s="34"/>
      <c r="B50" s="37" t="s">
        <v>56</v>
      </c>
      <c r="C50" s="5">
        <f>'Sep 2023'!H50</f>
        <v>77001.377099999983</v>
      </c>
      <c r="D50" s="5">
        <f t="shared" ref="D50:U50" si="15">D44+D49</f>
        <v>653.66999999999996</v>
      </c>
      <c r="E50" s="5">
        <f t="shared" si="15"/>
        <v>5199.6949999999997</v>
      </c>
      <c r="F50" s="5">
        <f t="shared" si="15"/>
        <v>0</v>
      </c>
      <c r="G50" s="5">
        <f t="shared" si="15"/>
        <v>0</v>
      </c>
      <c r="H50" s="5">
        <f t="shared" si="15"/>
        <v>77655.047099999982</v>
      </c>
      <c r="I50" s="5">
        <f>'Sep 2023'!N50</f>
        <v>496.1749999999999</v>
      </c>
      <c r="J50" s="5">
        <f t="shared" si="15"/>
        <v>0.06</v>
      </c>
      <c r="K50" s="5">
        <f t="shared" si="15"/>
        <v>0.51</v>
      </c>
      <c r="L50" s="5">
        <f t="shared" si="15"/>
        <v>0</v>
      </c>
      <c r="M50" s="5">
        <f t="shared" si="15"/>
        <v>0</v>
      </c>
      <c r="N50" s="5">
        <f t="shared" si="15"/>
        <v>496.2349999999999</v>
      </c>
      <c r="O50" s="5">
        <f>'Sep 2023'!T50</f>
        <v>738.09</v>
      </c>
      <c r="P50" s="5">
        <f t="shared" si="15"/>
        <v>0</v>
      </c>
      <c r="Q50" s="5">
        <f t="shared" si="15"/>
        <v>0.14000000000000001</v>
      </c>
      <c r="R50" s="5">
        <f t="shared" si="15"/>
        <v>0</v>
      </c>
      <c r="S50" s="5">
        <f t="shared" si="15"/>
        <v>0</v>
      </c>
      <c r="T50" s="5">
        <f t="shared" si="15"/>
        <v>738.09</v>
      </c>
      <c r="U50" s="5">
        <f t="shared" si="15"/>
        <v>78889.372099999979</v>
      </c>
    </row>
    <row r="51" spans="1:24" s="4" customFormat="1" ht="38.25" customHeight="1">
      <c r="A51" s="34"/>
      <c r="B51" s="37" t="s">
        <v>57</v>
      </c>
      <c r="C51" s="5">
        <f>'Sep 2023'!H51</f>
        <v>128541.32389999999</v>
      </c>
      <c r="D51" s="5">
        <f t="shared" ref="D51:U51" si="16">D25+D39+D50</f>
        <v>1429.6799999999998</v>
      </c>
      <c r="E51" s="5">
        <f t="shared" si="16"/>
        <v>10585.805</v>
      </c>
      <c r="F51" s="5">
        <f t="shared" si="16"/>
        <v>0.71</v>
      </c>
      <c r="G51" s="5">
        <f t="shared" si="16"/>
        <v>51.63</v>
      </c>
      <c r="H51" s="26">
        <f t="shared" si="16"/>
        <v>129970.29389999998</v>
      </c>
      <c r="I51" s="5">
        <f>'Sep 2023'!N51</f>
        <v>11239.582</v>
      </c>
      <c r="J51" s="5">
        <f t="shared" si="16"/>
        <v>36.000000000000007</v>
      </c>
      <c r="K51" s="5">
        <f t="shared" si="16"/>
        <v>367.18599999999992</v>
      </c>
      <c r="L51" s="5">
        <f t="shared" si="16"/>
        <v>0</v>
      </c>
      <c r="M51" s="5">
        <f t="shared" si="16"/>
        <v>0.49</v>
      </c>
      <c r="N51" s="26">
        <f t="shared" si="16"/>
        <v>11275.582</v>
      </c>
      <c r="O51" s="5">
        <f>'Sep 2023'!T51</f>
        <v>1597.5900000000001</v>
      </c>
      <c r="P51" s="5">
        <f t="shared" si="16"/>
        <v>0.11</v>
      </c>
      <c r="Q51" s="5">
        <f t="shared" si="16"/>
        <v>2.5</v>
      </c>
      <c r="R51" s="5">
        <f t="shared" si="16"/>
        <v>0</v>
      </c>
      <c r="S51" s="5">
        <f t="shared" si="16"/>
        <v>82.039999999999992</v>
      </c>
      <c r="T51" s="26">
        <f t="shared" si="16"/>
        <v>1597.6999999999998</v>
      </c>
      <c r="U51" s="5">
        <f t="shared" si="16"/>
        <v>142843.5759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1465.0799999999997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10821.331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142843.5759</v>
      </c>
      <c r="K56" s="13"/>
      <c r="L56" s="13"/>
      <c r="M56" s="16"/>
      <c r="N56" s="13"/>
      <c r="P56" s="9"/>
      <c r="Q56" s="17"/>
      <c r="U56" s="17"/>
    </row>
    <row r="57" spans="1:24" ht="33" customHeight="1">
      <c r="C57" s="19"/>
      <c r="D57" s="33"/>
      <c r="E57" s="33"/>
      <c r="F57" s="33"/>
      <c r="G57" s="33"/>
      <c r="H57" s="13"/>
      <c r="I57" s="15"/>
      <c r="J57" s="33"/>
      <c r="K57" s="13"/>
      <c r="L57" s="20"/>
      <c r="M57" s="13"/>
      <c r="N57" s="21">
        <f>'[2]sep 2020 '!J56+'Oct-2023'!J54</f>
        <v>118215.99089999999</v>
      </c>
      <c r="P57" s="9"/>
      <c r="Q57" s="17"/>
      <c r="U57" s="17"/>
    </row>
    <row r="58" spans="1:24">
      <c r="P58" s="1"/>
      <c r="Q58" s="1"/>
      <c r="R58" s="1"/>
      <c r="S58" s="2"/>
      <c r="T58" s="1"/>
      <c r="U58" s="1"/>
    </row>
    <row r="59" spans="1:24">
      <c r="P59" s="1"/>
      <c r="Q59" s="1"/>
      <c r="R59" s="1"/>
      <c r="S59" s="2"/>
      <c r="T59" s="1"/>
      <c r="U59" s="1"/>
    </row>
  </sheetData>
  <mergeCells count="26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opLeftCell="A37" zoomScale="39" zoomScaleNormal="39" workbookViewId="0">
      <selection activeCell="A49" sqref="A49:XFD51"/>
    </sheetView>
  </sheetViews>
  <sheetFormatPr defaultRowHeight="31.5"/>
  <cols>
    <col min="1" max="1" width="11.5703125" style="1" customWidth="1"/>
    <col min="2" max="2" width="50" style="14" customWidth="1"/>
    <col min="3" max="3" width="31.42578125" style="1" customWidth="1"/>
    <col min="4" max="5" width="25.42578125" style="1" customWidth="1"/>
    <col min="6" max="6" width="28.42578125" style="1" customWidth="1"/>
    <col min="7" max="7" width="31.28515625" style="1" customWidth="1"/>
    <col min="8" max="8" width="32.42578125" style="1" customWidth="1"/>
    <col min="9" max="9" width="33" style="22" customWidth="1"/>
    <col min="10" max="10" width="28.28515625" style="1" customWidth="1"/>
    <col min="11" max="15" width="25.42578125" style="1" customWidth="1"/>
    <col min="16" max="18" width="25.42578125" style="18" customWidth="1"/>
    <col min="19" max="19" width="25.42578125" style="36" customWidth="1"/>
    <col min="20" max="20" width="25.42578125" style="18" customWidth="1"/>
    <col min="21" max="21" width="32.85546875" style="18" customWidth="1"/>
    <col min="22" max="22" width="22.140625" style="1" bestFit="1" customWidth="1"/>
    <col min="23" max="23" width="37.140625" style="1" customWidth="1"/>
    <col min="24" max="16384" width="9.140625" style="1"/>
  </cols>
  <sheetData>
    <row r="1" spans="1:22" ht="55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2" ht="1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4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s="2" customFormat="1" ht="43.5" customHeight="1">
      <c r="A4" s="82" t="s">
        <v>1</v>
      </c>
      <c r="B4" s="86" t="s">
        <v>2</v>
      </c>
      <c r="C4" s="82" t="s">
        <v>3</v>
      </c>
      <c r="D4" s="82"/>
      <c r="E4" s="82"/>
      <c r="F4" s="82"/>
      <c r="G4" s="82"/>
      <c r="H4" s="82"/>
      <c r="I4" s="82" t="s">
        <v>4</v>
      </c>
      <c r="J4" s="85"/>
      <c r="K4" s="85"/>
      <c r="L4" s="85"/>
      <c r="M4" s="85"/>
      <c r="N4" s="85"/>
      <c r="O4" s="82" t="s">
        <v>5</v>
      </c>
      <c r="P4" s="85"/>
      <c r="Q4" s="85"/>
      <c r="R4" s="85"/>
      <c r="S4" s="85"/>
      <c r="T4" s="85"/>
      <c r="U4" s="35"/>
    </row>
    <row r="5" spans="1:22" s="2" customFormat="1" ht="54.75" customHeight="1">
      <c r="A5" s="85"/>
      <c r="B5" s="87"/>
      <c r="C5" s="82" t="s">
        <v>6</v>
      </c>
      <c r="D5" s="82" t="s">
        <v>7</v>
      </c>
      <c r="E5" s="82"/>
      <c r="F5" s="82" t="s">
        <v>8</v>
      </c>
      <c r="G5" s="82"/>
      <c r="H5" s="82" t="s">
        <v>9</v>
      </c>
      <c r="I5" s="82" t="s">
        <v>6</v>
      </c>
      <c r="J5" s="82" t="s">
        <v>7</v>
      </c>
      <c r="K5" s="82"/>
      <c r="L5" s="82" t="s">
        <v>8</v>
      </c>
      <c r="M5" s="82"/>
      <c r="N5" s="82" t="s">
        <v>9</v>
      </c>
      <c r="O5" s="82" t="s">
        <v>6</v>
      </c>
      <c r="P5" s="82" t="s">
        <v>7</v>
      </c>
      <c r="Q5" s="82"/>
      <c r="R5" s="82" t="s">
        <v>8</v>
      </c>
      <c r="S5" s="82"/>
      <c r="T5" s="82" t="s">
        <v>9</v>
      </c>
      <c r="U5" s="82" t="s">
        <v>10</v>
      </c>
    </row>
    <row r="6" spans="1:22" s="2" customFormat="1" ht="38.25" customHeight="1">
      <c r="A6" s="85"/>
      <c r="B6" s="87"/>
      <c r="C6" s="85"/>
      <c r="D6" s="34" t="s">
        <v>11</v>
      </c>
      <c r="E6" s="34" t="s">
        <v>12</v>
      </c>
      <c r="F6" s="34" t="s">
        <v>11</v>
      </c>
      <c r="G6" s="34" t="s">
        <v>12</v>
      </c>
      <c r="H6" s="82"/>
      <c r="I6" s="85"/>
      <c r="J6" s="34" t="s">
        <v>11</v>
      </c>
      <c r="K6" s="34" t="s">
        <v>12</v>
      </c>
      <c r="L6" s="34" t="s">
        <v>11</v>
      </c>
      <c r="M6" s="34" t="s">
        <v>12</v>
      </c>
      <c r="N6" s="82"/>
      <c r="O6" s="85"/>
      <c r="P6" s="34" t="s">
        <v>11</v>
      </c>
      <c r="Q6" s="34" t="s">
        <v>12</v>
      </c>
      <c r="R6" s="34" t="s">
        <v>11</v>
      </c>
      <c r="S6" s="34" t="s">
        <v>12</v>
      </c>
      <c r="T6" s="82"/>
      <c r="U6" s="82"/>
    </row>
    <row r="7" spans="1:22" ht="38.25" customHeight="1">
      <c r="A7" s="35">
        <v>1</v>
      </c>
      <c r="B7" s="38" t="s">
        <v>13</v>
      </c>
      <c r="C7" s="3">
        <f>'Oct-2023'!H7</f>
        <v>7.179999999999982</v>
      </c>
      <c r="D7" s="3">
        <v>0</v>
      </c>
      <c r="E7" s="3">
        <f>'Oct-2023'!E7+'Nov 2023'!D7</f>
        <v>0</v>
      </c>
      <c r="F7" s="3">
        <v>0</v>
      </c>
      <c r="G7" s="3">
        <f>'Oct-2023'!G7+'Nov 2023'!F7</f>
        <v>0</v>
      </c>
      <c r="H7" s="3">
        <f>C7+D7-F7</f>
        <v>7.179999999999982</v>
      </c>
      <c r="I7" s="3">
        <f>'Oct-2023'!N7</f>
        <v>726.95699999999977</v>
      </c>
      <c r="J7" s="3">
        <v>1.9</v>
      </c>
      <c r="K7" s="3">
        <f>'Oct-2023'!K7+'Nov 2023'!J7</f>
        <v>14.400000000000002</v>
      </c>
      <c r="L7" s="3">
        <v>0</v>
      </c>
      <c r="M7" s="3">
        <f>'Oct-2023'!M7+'Nov 2023'!L7</f>
        <v>0</v>
      </c>
      <c r="N7" s="3">
        <f>I7+J7-L7</f>
        <v>728.85699999999974</v>
      </c>
      <c r="O7" s="3">
        <f>'Oct-2023'!T7</f>
        <v>8.436000000000007</v>
      </c>
      <c r="P7" s="3">
        <v>0</v>
      </c>
      <c r="Q7" s="3">
        <f>'Oct-2023'!Q7+'Nov 2023'!P7</f>
        <v>0</v>
      </c>
      <c r="R7" s="3">
        <v>0</v>
      </c>
      <c r="S7" s="3">
        <f>'Oct-2023'!S7+'Nov 2023'!R7</f>
        <v>0</v>
      </c>
      <c r="T7" s="3">
        <f>O7+P7-R7</f>
        <v>8.436000000000007</v>
      </c>
      <c r="U7" s="3">
        <f>H7+N7+T7</f>
        <v>744.47299999999973</v>
      </c>
    </row>
    <row r="8" spans="1:22" ht="38.25" customHeight="1">
      <c r="A8" s="35">
        <v>2</v>
      </c>
      <c r="B8" s="38" t="s">
        <v>14</v>
      </c>
      <c r="C8" s="3">
        <f>'Oct-2023'!H8</f>
        <v>265.98999999999995</v>
      </c>
      <c r="D8" s="3">
        <v>0</v>
      </c>
      <c r="E8" s="3">
        <f>'Oct-2023'!E8+'Nov 2023'!D8</f>
        <v>0</v>
      </c>
      <c r="F8" s="3">
        <v>0</v>
      </c>
      <c r="G8" s="3">
        <f>'Oct-2023'!G8+'Nov 2023'!F8</f>
        <v>0</v>
      </c>
      <c r="H8" s="3">
        <f t="shared" ref="H8:H48" si="0">C8+D8-F8</f>
        <v>265.98999999999995</v>
      </c>
      <c r="I8" s="3">
        <f>'Oct-2023'!N8</f>
        <v>483.23600000000016</v>
      </c>
      <c r="J8" s="3">
        <v>2.9</v>
      </c>
      <c r="K8" s="3">
        <f>'Oct-2023'!K8+'Nov 2023'!J8</f>
        <v>87.990000000000009</v>
      </c>
      <c r="L8" s="3">
        <v>0</v>
      </c>
      <c r="M8" s="3">
        <f>'Oct-2023'!M8+'Nov 2023'!L8</f>
        <v>0</v>
      </c>
      <c r="N8" s="3">
        <f t="shared" ref="N8:N48" si="1">I8+J8-L8</f>
        <v>486.13600000000014</v>
      </c>
      <c r="O8" s="3">
        <f>'Oct-2023'!T8</f>
        <v>66.290000000000006</v>
      </c>
      <c r="P8" s="3">
        <v>0</v>
      </c>
      <c r="Q8" s="3">
        <f>'Oct-2023'!Q8+'Nov 2023'!P8</f>
        <v>0</v>
      </c>
      <c r="R8" s="3">
        <v>0</v>
      </c>
      <c r="S8" s="3">
        <f>'Oct-2023'!S8+'Nov 2023'!R8</f>
        <v>0</v>
      </c>
      <c r="T8" s="3">
        <f t="shared" ref="T8:T48" si="2">O8+P8-R8</f>
        <v>66.290000000000006</v>
      </c>
      <c r="U8" s="3">
        <f t="shared" ref="U8:U48" si="3">H8+N8+T8</f>
        <v>818.41600000000005</v>
      </c>
    </row>
    <row r="9" spans="1:22" ht="38.25" customHeight="1">
      <c r="A9" s="35">
        <v>3</v>
      </c>
      <c r="B9" s="38" t="s">
        <v>15</v>
      </c>
      <c r="C9" s="3">
        <f>'Oct-2023'!H9</f>
        <v>209.16</v>
      </c>
      <c r="D9" s="3">
        <v>0</v>
      </c>
      <c r="E9" s="3">
        <f>'Oct-2023'!E9+'Nov 2023'!D9</f>
        <v>0</v>
      </c>
      <c r="F9" s="3">
        <v>0</v>
      </c>
      <c r="G9" s="3">
        <f>'Oct-2023'!G9+'Nov 2023'!F9</f>
        <v>0</v>
      </c>
      <c r="H9" s="3">
        <f t="shared" si="0"/>
        <v>209.16</v>
      </c>
      <c r="I9" s="3">
        <f>'Oct-2023'!N9</f>
        <v>943.68799999999987</v>
      </c>
      <c r="J9" s="3">
        <v>7.8</v>
      </c>
      <c r="K9" s="3">
        <f>'Oct-2023'!K9+'Nov 2023'!J9</f>
        <v>48.239999999999995</v>
      </c>
      <c r="L9" s="3">
        <v>0</v>
      </c>
      <c r="M9" s="3">
        <f>'Oct-2023'!M9+'Nov 2023'!L9</f>
        <v>0</v>
      </c>
      <c r="N9" s="3">
        <f t="shared" si="1"/>
        <v>951.48799999999983</v>
      </c>
      <c r="O9" s="3">
        <f>'Oct-2023'!T9</f>
        <v>44.739999999999995</v>
      </c>
      <c r="P9" s="3">
        <v>0</v>
      </c>
      <c r="Q9" s="3">
        <f>'Oct-2023'!Q9+'Nov 2023'!P9</f>
        <v>0</v>
      </c>
      <c r="R9" s="3">
        <v>0</v>
      </c>
      <c r="S9" s="3">
        <f>'Oct-2023'!S9+'Nov 2023'!R9</f>
        <v>0</v>
      </c>
      <c r="T9" s="3">
        <f t="shared" si="2"/>
        <v>44.739999999999995</v>
      </c>
      <c r="U9" s="3">
        <f t="shared" si="3"/>
        <v>1205.3879999999999</v>
      </c>
    </row>
    <row r="10" spans="1:22" s="4" customFormat="1" ht="38.25" customHeight="1">
      <c r="A10" s="35">
        <v>4</v>
      </c>
      <c r="B10" s="38" t="s">
        <v>16</v>
      </c>
      <c r="C10" s="3">
        <f>'Oct-2023'!H10</f>
        <v>0</v>
      </c>
      <c r="D10" s="3">
        <v>0</v>
      </c>
      <c r="E10" s="3">
        <f>'Oct-2023'!E10+'Nov 2023'!D10</f>
        <v>0</v>
      </c>
      <c r="F10" s="3">
        <v>0</v>
      </c>
      <c r="G10" s="3">
        <f>'Oct-2023'!G10+'Nov 2023'!F10</f>
        <v>0</v>
      </c>
      <c r="H10" s="3">
        <f t="shared" si="0"/>
        <v>0</v>
      </c>
      <c r="I10" s="3">
        <f>'Oct-2023'!N10</f>
        <v>372.56099999999986</v>
      </c>
      <c r="J10" s="3">
        <v>0.39500000000000002</v>
      </c>
      <c r="K10" s="3">
        <f>'Oct-2023'!K10+'Nov 2023'!J10</f>
        <v>7.9830000000000005</v>
      </c>
      <c r="L10" s="3">
        <v>0</v>
      </c>
      <c r="M10" s="3">
        <f>'Oct-2023'!M10+'Nov 2023'!L10</f>
        <v>0</v>
      </c>
      <c r="N10" s="3">
        <f t="shared" si="1"/>
        <v>372.95599999999985</v>
      </c>
      <c r="O10" s="3">
        <f>'Oct-2023'!T10</f>
        <v>0.20000000000000007</v>
      </c>
      <c r="P10" s="3">
        <v>0</v>
      </c>
      <c r="Q10" s="3">
        <f>'Oct-2023'!Q10+'Nov 2023'!P10</f>
        <v>0</v>
      </c>
      <c r="R10" s="3">
        <v>0</v>
      </c>
      <c r="S10" s="3">
        <f>'Oct-2023'!S10+'Nov 2023'!R10</f>
        <v>0</v>
      </c>
      <c r="T10" s="3">
        <f t="shared" si="2"/>
        <v>0.20000000000000007</v>
      </c>
      <c r="U10" s="3">
        <f t="shared" si="3"/>
        <v>373.15599999999984</v>
      </c>
    </row>
    <row r="11" spans="1:22" s="4" customFormat="1" ht="38.25" customHeight="1">
      <c r="A11" s="34"/>
      <c r="B11" s="37" t="s">
        <v>17</v>
      </c>
      <c r="C11" s="5">
        <f>'Oct-2023'!H11</f>
        <v>482.32999999999993</v>
      </c>
      <c r="D11" s="5">
        <f t="shared" ref="D11:U11" si="4">SUM(D7:D10)</f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482.32999999999993</v>
      </c>
      <c r="I11" s="5">
        <f>'Oct-2023'!N11</f>
        <v>2526.4419999999996</v>
      </c>
      <c r="J11" s="5">
        <f t="shared" si="4"/>
        <v>12.994999999999999</v>
      </c>
      <c r="K11" s="5">
        <f t="shared" si="4"/>
        <v>158.613</v>
      </c>
      <c r="L11" s="5">
        <f t="shared" si="4"/>
        <v>0</v>
      </c>
      <c r="M11" s="5">
        <f t="shared" si="4"/>
        <v>0</v>
      </c>
      <c r="N11" s="5">
        <f t="shared" si="4"/>
        <v>2539.4369999999994</v>
      </c>
      <c r="O11" s="5">
        <f>'Oct-2023'!T11</f>
        <v>119.66600000000001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119.66600000000001</v>
      </c>
      <c r="U11" s="5">
        <f t="shared" si="4"/>
        <v>3141.4329999999995</v>
      </c>
      <c r="V11" s="33"/>
    </row>
    <row r="12" spans="1:22" ht="38.25" customHeight="1">
      <c r="A12" s="35">
        <v>5</v>
      </c>
      <c r="B12" s="38" t="s">
        <v>18</v>
      </c>
      <c r="C12" s="3">
        <f>'Oct-2023'!H12</f>
        <v>22.179999999999609</v>
      </c>
      <c r="D12" s="3">
        <v>0</v>
      </c>
      <c r="E12" s="3">
        <f>'Oct-2023'!E12+'Nov 2023'!D12</f>
        <v>0</v>
      </c>
      <c r="F12" s="3">
        <v>0</v>
      </c>
      <c r="G12" s="3">
        <f>'Oct-2023'!G12+'Nov 2023'!F12</f>
        <v>0</v>
      </c>
      <c r="H12" s="3">
        <f t="shared" si="0"/>
        <v>22.179999999999609</v>
      </c>
      <c r="I12" s="3">
        <f>'Oct-2023'!N12</f>
        <v>1295.2649999999996</v>
      </c>
      <c r="J12" s="25">
        <v>1.25</v>
      </c>
      <c r="K12" s="3">
        <f>'Oct-2023'!K12+'Nov 2023'!J12</f>
        <v>20.080000000000002</v>
      </c>
      <c r="L12" s="3">
        <v>0</v>
      </c>
      <c r="M12" s="3">
        <f>'Oct-2023'!M12+'Nov 2023'!L12</f>
        <v>0</v>
      </c>
      <c r="N12" s="3">
        <f t="shared" si="1"/>
        <v>1296.5149999999996</v>
      </c>
      <c r="O12" s="3">
        <f>'Oct-2023'!T12</f>
        <v>1.9700000000000095</v>
      </c>
      <c r="P12" s="3">
        <v>0</v>
      </c>
      <c r="Q12" s="3">
        <f>'Oct-2023'!Q12+'Nov 2023'!P12</f>
        <v>0</v>
      </c>
      <c r="R12" s="3">
        <v>0</v>
      </c>
      <c r="S12" s="3">
        <f>'Oct-2023'!S12+'Nov 2023'!R12</f>
        <v>0</v>
      </c>
      <c r="T12" s="3">
        <f t="shared" si="2"/>
        <v>1.9700000000000095</v>
      </c>
      <c r="U12" s="3">
        <f t="shared" si="3"/>
        <v>1320.6649999999993</v>
      </c>
    </row>
    <row r="13" spans="1:22" ht="38.25" customHeight="1">
      <c r="A13" s="35">
        <v>6</v>
      </c>
      <c r="B13" s="38" t="s">
        <v>19</v>
      </c>
      <c r="C13" s="3">
        <f>'Oct-2023'!H13</f>
        <v>312.23000000000013</v>
      </c>
      <c r="D13" s="3">
        <v>0</v>
      </c>
      <c r="E13" s="3">
        <f>'Oct-2023'!E13+'Nov 2023'!D13</f>
        <v>0</v>
      </c>
      <c r="F13" s="3">
        <v>0</v>
      </c>
      <c r="G13" s="3">
        <f>'Oct-2023'!G13+'Nov 2023'!F13</f>
        <v>0</v>
      </c>
      <c r="H13" s="3">
        <f t="shared" si="0"/>
        <v>312.23000000000013</v>
      </c>
      <c r="I13" s="3">
        <f>'Oct-2023'!N13</f>
        <v>557.46200000000022</v>
      </c>
      <c r="J13" s="25">
        <v>1.42</v>
      </c>
      <c r="K13" s="3">
        <f>'Oct-2023'!K13+'Nov 2023'!J13</f>
        <v>13.350000000000001</v>
      </c>
      <c r="L13" s="3">
        <v>0</v>
      </c>
      <c r="M13" s="3">
        <f>'Oct-2023'!M13+'Nov 2023'!L13</f>
        <v>0</v>
      </c>
      <c r="N13" s="3">
        <f t="shared" si="1"/>
        <v>558.88200000000018</v>
      </c>
      <c r="O13" s="3">
        <f>'Oct-2023'!T13</f>
        <v>68.39</v>
      </c>
      <c r="P13" s="3">
        <v>0</v>
      </c>
      <c r="Q13" s="3">
        <f>'Oct-2023'!Q13+'Nov 2023'!P13</f>
        <v>0</v>
      </c>
      <c r="R13" s="3">
        <v>0</v>
      </c>
      <c r="S13" s="3">
        <f>'Oct-2023'!S13+'Nov 2023'!R13</f>
        <v>0</v>
      </c>
      <c r="T13" s="3">
        <f t="shared" si="2"/>
        <v>68.39</v>
      </c>
      <c r="U13" s="3">
        <f t="shared" si="3"/>
        <v>939.50200000000029</v>
      </c>
    </row>
    <row r="14" spans="1:22" s="4" customFormat="1" ht="38.25" customHeight="1">
      <c r="A14" s="35">
        <v>7</v>
      </c>
      <c r="B14" s="38" t="s">
        <v>20</v>
      </c>
      <c r="C14" s="3">
        <f>'Oct-2023'!H14</f>
        <v>1216.4399999999994</v>
      </c>
      <c r="D14" s="3">
        <v>0</v>
      </c>
      <c r="E14" s="3">
        <f>'Oct-2023'!E14+'Nov 2023'!D14</f>
        <v>0</v>
      </c>
      <c r="F14" s="3">
        <v>0</v>
      </c>
      <c r="G14" s="3">
        <f>'Oct-2023'!G14+'Nov 2023'!F14</f>
        <v>0</v>
      </c>
      <c r="H14" s="3">
        <f t="shared" si="0"/>
        <v>1216.4399999999994</v>
      </c>
      <c r="I14" s="3">
        <f>'Oct-2023'!N14</f>
        <v>934.74800000000039</v>
      </c>
      <c r="J14" s="25">
        <v>1.98</v>
      </c>
      <c r="K14" s="3">
        <f>'Oct-2023'!K14+'Nov 2023'!J14</f>
        <v>33.229999999999997</v>
      </c>
      <c r="L14" s="3">
        <v>0</v>
      </c>
      <c r="M14" s="3">
        <f>'Oct-2023'!M14+'Nov 2023'!L14</f>
        <v>0</v>
      </c>
      <c r="N14" s="3">
        <f t="shared" si="1"/>
        <v>936.72800000000041</v>
      </c>
      <c r="O14" s="3">
        <f>'Oct-2023'!T14</f>
        <v>61.329999999999991</v>
      </c>
      <c r="P14" s="3">
        <v>0</v>
      </c>
      <c r="Q14" s="3">
        <f>'Oct-2023'!Q14+'Nov 2023'!P14</f>
        <v>0</v>
      </c>
      <c r="R14" s="3">
        <v>0</v>
      </c>
      <c r="S14" s="3">
        <f>'Oct-2023'!S14+'Nov 2023'!R14</f>
        <v>0</v>
      </c>
      <c r="T14" s="3">
        <f t="shared" si="2"/>
        <v>61.329999999999991</v>
      </c>
      <c r="U14" s="3">
        <f t="shared" si="3"/>
        <v>2214.4979999999996</v>
      </c>
    </row>
    <row r="15" spans="1:22" s="4" customFormat="1" ht="38.25" customHeight="1">
      <c r="A15" s="34"/>
      <c r="B15" s="37" t="s">
        <v>21</v>
      </c>
      <c r="C15" s="5">
        <f>'Oct-2023'!H15</f>
        <v>1550.849999999999</v>
      </c>
      <c r="D15" s="5">
        <f t="shared" ref="D15:U15" si="5">SUM(D12:D14)</f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1550.849999999999</v>
      </c>
      <c r="I15" s="5">
        <f>'Oct-2023'!N15</f>
        <v>2787.4750000000004</v>
      </c>
      <c r="J15" s="5">
        <f t="shared" si="5"/>
        <v>4.6500000000000004</v>
      </c>
      <c r="K15" s="5">
        <f t="shared" si="5"/>
        <v>66.66</v>
      </c>
      <c r="L15" s="5">
        <f t="shared" si="5"/>
        <v>0</v>
      </c>
      <c r="M15" s="5">
        <f t="shared" si="5"/>
        <v>0</v>
      </c>
      <c r="N15" s="5">
        <f t="shared" si="5"/>
        <v>2792.1250000000005</v>
      </c>
      <c r="O15" s="5">
        <f>'Oct-2023'!T15</f>
        <v>131.69</v>
      </c>
      <c r="P15" s="5">
        <f t="shared" si="5"/>
        <v>0</v>
      </c>
      <c r="Q15" s="5">
        <f t="shared" si="5"/>
        <v>0</v>
      </c>
      <c r="R15" s="5">
        <f t="shared" si="5"/>
        <v>0</v>
      </c>
      <c r="S15" s="5">
        <f t="shared" si="5"/>
        <v>0</v>
      </c>
      <c r="T15" s="5">
        <f t="shared" si="5"/>
        <v>131.69</v>
      </c>
      <c r="U15" s="5">
        <f t="shared" si="5"/>
        <v>4474.6649999999991</v>
      </c>
      <c r="V15" s="33"/>
    </row>
    <row r="16" spans="1:22" s="6" customFormat="1" ht="38.25" customHeight="1">
      <c r="A16" s="35">
        <v>8</v>
      </c>
      <c r="B16" s="38" t="s">
        <v>22</v>
      </c>
      <c r="C16" s="3">
        <f>'Oct-2023'!H16</f>
        <v>760.26400000000046</v>
      </c>
      <c r="D16" s="3">
        <f>1.44+0.7</f>
        <v>2.1399999999999997</v>
      </c>
      <c r="E16" s="3">
        <f>'Oct-2023'!E16+'Nov 2023'!D16</f>
        <v>13.479999999999997</v>
      </c>
      <c r="F16" s="3">
        <v>0</v>
      </c>
      <c r="G16" s="3">
        <f>'Oct-2023'!G16+'Nov 2023'!F16</f>
        <v>7.24</v>
      </c>
      <c r="H16" s="3">
        <f t="shared" si="0"/>
        <v>762.40400000000045</v>
      </c>
      <c r="I16" s="3">
        <f>'Oct-2023'!N16</f>
        <v>585.66600000000017</v>
      </c>
      <c r="J16" s="3">
        <v>3.09</v>
      </c>
      <c r="K16" s="3">
        <f>'Oct-2023'!K16+'Nov 2023'!J16</f>
        <v>11.780000000000001</v>
      </c>
      <c r="L16" s="3">
        <v>0</v>
      </c>
      <c r="M16" s="3">
        <f>'Oct-2023'!M16+'Nov 2023'!L16</f>
        <v>0</v>
      </c>
      <c r="N16" s="3">
        <f t="shared" si="1"/>
        <v>588.7560000000002</v>
      </c>
      <c r="O16" s="3">
        <f>'Oct-2023'!T16</f>
        <v>113.46200000000005</v>
      </c>
      <c r="P16" s="3">
        <v>0</v>
      </c>
      <c r="Q16" s="3">
        <f>'Oct-2023'!Q16+'Nov 2023'!P16</f>
        <v>0.19</v>
      </c>
      <c r="R16" s="3">
        <v>0</v>
      </c>
      <c r="S16" s="3">
        <f>'Oct-2023'!S16+'Nov 2023'!R16</f>
        <v>64.17</v>
      </c>
      <c r="T16" s="3">
        <f t="shared" si="2"/>
        <v>113.46200000000005</v>
      </c>
      <c r="U16" s="3">
        <f t="shared" si="3"/>
        <v>1464.6220000000008</v>
      </c>
    </row>
    <row r="17" spans="1:23" ht="61.5" customHeight="1">
      <c r="A17" s="7">
        <v>9</v>
      </c>
      <c r="B17" s="8" t="s">
        <v>23</v>
      </c>
      <c r="C17" s="3">
        <f>'Oct-2023'!H17</f>
        <v>2.7259999999999476</v>
      </c>
      <c r="D17" s="3">
        <v>0</v>
      </c>
      <c r="E17" s="3">
        <f>'Oct-2023'!E17+'Nov 2023'!D17</f>
        <v>0.05</v>
      </c>
      <c r="F17" s="3">
        <v>0</v>
      </c>
      <c r="G17" s="3">
        <f>'Oct-2023'!G17+'Nov 2023'!F17</f>
        <v>0</v>
      </c>
      <c r="H17" s="3">
        <f t="shared" si="0"/>
        <v>2.7259999999999476</v>
      </c>
      <c r="I17" s="3">
        <f>'Oct-2023'!N17</f>
        <v>609.45000000000005</v>
      </c>
      <c r="J17" s="3">
        <v>0.95</v>
      </c>
      <c r="K17" s="3">
        <f>'Oct-2023'!K17+'Nov 2023'!J17</f>
        <v>21.709999999999997</v>
      </c>
      <c r="L17" s="3">
        <v>0</v>
      </c>
      <c r="M17" s="3">
        <f>'Oct-2023'!M17+'Nov 2023'!L17</f>
        <v>0.43</v>
      </c>
      <c r="N17" s="3">
        <f t="shared" si="1"/>
        <v>610.40000000000009</v>
      </c>
      <c r="O17" s="3">
        <f>'Oct-2023'!T17</f>
        <v>1.5399999999999998</v>
      </c>
      <c r="P17" s="3">
        <v>0</v>
      </c>
      <c r="Q17" s="3">
        <f>'Oct-2023'!Q17+'Nov 2023'!P17</f>
        <v>1.22</v>
      </c>
      <c r="R17" s="3">
        <v>0</v>
      </c>
      <c r="S17" s="3">
        <f>'Oct-2023'!S17+'Nov 2023'!R17</f>
        <v>1.63</v>
      </c>
      <c r="T17" s="3">
        <f t="shared" si="2"/>
        <v>1.5399999999999998</v>
      </c>
      <c r="U17" s="3">
        <f t="shared" si="3"/>
        <v>614.66600000000005</v>
      </c>
    </row>
    <row r="18" spans="1:23" s="4" customFormat="1" ht="38.25" customHeight="1">
      <c r="A18" s="35">
        <v>10</v>
      </c>
      <c r="B18" s="38" t="s">
        <v>24</v>
      </c>
      <c r="C18" s="3">
        <f>'Oct-2023'!H18</f>
        <v>90.266000000000147</v>
      </c>
      <c r="D18" s="3">
        <v>0</v>
      </c>
      <c r="E18" s="3">
        <f>'Oct-2023'!E18+'Nov 2023'!D18</f>
        <v>0.05</v>
      </c>
      <c r="F18" s="3">
        <v>0</v>
      </c>
      <c r="G18" s="3">
        <f>'Oct-2023'!G18+'Nov 2023'!F18</f>
        <v>0.05</v>
      </c>
      <c r="H18" s="3">
        <f t="shared" si="0"/>
        <v>90.266000000000147</v>
      </c>
      <c r="I18" s="3">
        <f>'Oct-2023'!N18</f>
        <v>625.03000000000009</v>
      </c>
      <c r="J18" s="3">
        <v>0.45</v>
      </c>
      <c r="K18" s="3">
        <f>'Oct-2023'!K18+'Nov 2023'!J18</f>
        <v>8.1850000000000005</v>
      </c>
      <c r="L18" s="3">
        <v>1.03</v>
      </c>
      <c r="M18" s="3">
        <f>'Oct-2023'!M18+'Nov 2023'!L18</f>
        <v>1.03</v>
      </c>
      <c r="N18" s="3">
        <f t="shared" si="1"/>
        <v>624.45000000000016</v>
      </c>
      <c r="O18" s="3">
        <f>'Oct-2023'!T18</f>
        <v>35.689999999999991</v>
      </c>
      <c r="P18" s="3">
        <v>0</v>
      </c>
      <c r="Q18" s="3">
        <f>'Oct-2023'!Q18+'Nov 2023'!P18</f>
        <v>0</v>
      </c>
      <c r="R18" s="3">
        <v>0</v>
      </c>
      <c r="S18" s="3">
        <f>'Oct-2023'!S18+'Nov 2023'!R18</f>
        <v>0</v>
      </c>
      <c r="T18" s="3">
        <f t="shared" si="2"/>
        <v>35.689999999999991</v>
      </c>
      <c r="U18" s="3">
        <f t="shared" si="3"/>
        <v>750.40600000000029</v>
      </c>
    </row>
    <row r="19" spans="1:23" s="4" customFormat="1" ht="38.25" customHeight="1">
      <c r="A19" s="34"/>
      <c r="B19" s="37" t="s">
        <v>25</v>
      </c>
      <c r="C19" s="5">
        <f>'Oct-2023'!H19</f>
        <v>853.25600000000065</v>
      </c>
      <c r="D19" s="5">
        <f t="shared" ref="D19:U19" si="6">SUM(D16:D18)</f>
        <v>2.1399999999999997</v>
      </c>
      <c r="E19" s="5">
        <f t="shared" si="6"/>
        <v>13.579999999999998</v>
      </c>
      <c r="F19" s="5">
        <f t="shared" si="6"/>
        <v>0</v>
      </c>
      <c r="G19" s="5">
        <f t="shared" si="6"/>
        <v>7.29</v>
      </c>
      <c r="H19" s="5">
        <f t="shared" si="6"/>
        <v>855.39600000000064</v>
      </c>
      <c r="I19" s="5">
        <f>'Oct-2023'!N19</f>
        <v>1820.1460000000002</v>
      </c>
      <c r="J19" s="5">
        <f t="shared" si="6"/>
        <v>4.49</v>
      </c>
      <c r="K19" s="5">
        <f t="shared" si="6"/>
        <v>41.674999999999997</v>
      </c>
      <c r="L19" s="5">
        <f t="shared" si="6"/>
        <v>1.03</v>
      </c>
      <c r="M19" s="5">
        <f t="shared" si="6"/>
        <v>1.46</v>
      </c>
      <c r="N19" s="5">
        <f t="shared" si="6"/>
        <v>1823.6060000000007</v>
      </c>
      <c r="O19" s="5">
        <f>'Oct-2023'!T19</f>
        <v>150.69200000000004</v>
      </c>
      <c r="P19" s="5">
        <f t="shared" si="6"/>
        <v>0</v>
      </c>
      <c r="Q19" s="5">
        <f t="shared" si="6"/>
        <v>1.41</v>
      </c>
      <c r="R19" s="5">
        <f t="shared" si="6"/>
        <v>0</v>
      </c>
      <c r="S19" s="5">
        <f t="shared" si="6"/>
        <v>65.8</v>
      </c>
      <c r="T19" s="5">
        <f t="shared" si="6"/>
        <v>150.69200000000004</v>
      </c>
      <c r="U19" s="5">
        <f t="shared" si="6"/>
        <v>2829.6940000000013</v>
      </c>
    </row>
    <row r="20" spans="1:23" ht="38.25" customHeight="1">
      <c r="A20" s="35">
        <v>11</v>
      </c>
      <c r="B20" s="38" t="s">
        <v>26</v>
      </c>
      <c r="C20" s="3">
        <f>'Oct-2023'!H20</f>
        <v>607.42999999999984</v>
      </c>
      <c r="D20" s="3">
        <v>0</v>
      </c>
      <c r="E20" s="3">
        <f>'Oct-2023'!E20+'Nov 2023'!D20</f>
        <v>0</v>
      </c>
      <c r="F20" s="3">
        <v>0</v>
      </c>
      <c r="G20" s="3">
        <f>'Oct-2023'!G20+'Nov 2023'!F20</f>
        <v>0</v>
      </c>
      <c r="H20" s="3">
        <f t="shared" si="0"/>
        <v>607.42999999999984</v>
      </c>
      <c r="I20" s="3">
        <f>'Oct-2023'!N20</f>
        <v>772.5780000000002</v>
      </c>
      <c r="J20" s="3">
        <v>1.9</v>
      </c>
      <c r="K20" s="3">
        <f>'Oct-2023'!K20+'Nov 2023'!J20</f>
        <v>26.09</v>
      </c>
      <c r="L20" s="3">
        <v>0</v>
      </c>
      <c r="M20" s="3">
        <f>'Oct-2023'!M20+'Nov 2023'!L20</f>
        <v>0.02</v>
      </c>
      <c r="N20" s="3">
        <f t="shared" si="1"/>
        <v>774.47800000000018</v>
      </c>
      <c r="O20" s="3">
        <f>'Oct-2023'!T20</f>
        <v>37.580000000000005</v>
      </c>
      <c r="P20" s="3">
        <v>0</v>
      </c>
      <c r="Q20" s="3">
        <f>'Oct-2023'!Q20+'Nov 2023'!P20</f>
        <v>0</v>
      </c>
      <c r="R20" s="3">
        <v>0</v>
      </c>
      <c r="S20" s="3">
        <f>'Oct-2023'!S20+'Nov 2023'!R20</f>
        <v>0</v>
      </c>
      <c r="T20" s="3">
        <f t="shared" si="2"/>
        <v>37.580000000000005</v>
      </c>
      <c r="U20" s="3">
        <f t="shared" si="3"/>
        <v>1419.4879999999998</v>
      </c>
      <c r="W20" s="90"/>
    </row>
    <row r="21" spans="1:23" ht="38.25" customHeight="1">
      <c r="A21" s="35">
        <v>12</v>
      </c>
      <c r="B21" s="38" t="s">
        <v>27</v>
      </c>
      <c r="C21" s="3">
        <f>'Oct-2023'!H21</f>
        <v>1.2000000000000002</v>
      </c>
      <c r="D21" s="3">
        <v>0</v>
      </c>
      <c r="E21" s="3">
        <f>'Oct-2023'!E21+'Nov 2023'!D21</f>
        <v>0</v>
      </c>
      <c r="F21" s="3">
        <v>0</v>
      </c>
      <c r="G21" s="3">
        <f>'Oct-2023'!G21+'Nov 2023'!F21</f>
        <v>0.87</v>
      </c>
      <c r="H21" s="3">
        <f t="shared" si="0"/>
        <v>1.2000000000000002</v>
      </c>
      <c r="I21" s="3">
        <f>'Oct-2023'!N21</f>
        <v>471.07700000000011</v>
      </c>
      <c r="J21" s="3">
        <v>0.74</v>
      </c>
      <c r="K21" s="3">
        <f>'Oct-2023'!K21+'Nov 2023'!J21</f>
        <v>10.410000000000002</v>
      </c>
      <c r="L21" s="3">
        <v>0</v>
      </c>
      <c r="M21" s="3">
        <f>'Oct-2023'!M21+'Nov 2023'!L21</f>
        <v>0.02</v>
      </c>
      <c r="N21" s="3">
        <f t="shared" si="1"/>
        <v>471.81700000000012</v>
      </c>
      <c r="O21" s="3">
        <f>'Oct-2023'!T21</f>
        <v>2.649999999999995</v>
      </c>
      <c r="P21" s="3">
        <v>0</v>
      </c>
      <c r="Q21" s="3">
        <f>'Oct-2023'!Q21+'Nov 2023'!P21</f>
        <v>0</v>
      </c>
      <c r="R21" s="3">
        <v>0</v>
      </c>
      <c r="S21" s="3">
        <f>'Oct-2023'!S21+'Nov 2023'!R21</f>
        <v>16.239999999999998</v>
      </c>
      <c r="T21" s="3">
        <f t="shared" si="2"/>
        <v>2.649999999999995</v>
      </c>
      <c r="U21" s="3">
        <f t="shared" si="3"/>
        <v>475.66700000000009</v>
      </c>
      <c r="W21" s="90"/>
    </row>
    <row r="22" spans="1:23" s="4" customFormat="1" ht="38.25" customHeight="1">
      <c r="A22" s="35">
        <v>13</v>
      </c>
      <c r="B22" s="38" t="s">
        <v>28</v>
      </c>
      <c r="C22" s="3">
        <f>'Oct-2023'!H22</f>
        <v>22.430000000000021</v>
      </c>
      <c r="D22" s="3">
        <v>0</v>
      </c>
      <c r="E22" s="3">
        <f>'Oct-2023'!E22+'Nov 2023'!D22</f>
        <v>0</v>
      </c>
      <c r="F22" s="3">
        <v>0</v>
      </c>
      <c r="G22" s="3">
        <f>'Oct-2023'!G22+'Nov 2023'!F22</f>
        <v>0</v>
      </c>
      <c r="H22" s="3">
        <f t="shared" si="0"/>
        <v>22.430000000000021</v>
      </c>
      <c r="I22" s="3">
        <f>'Oct-2023'!N22</f>
        <v>701.74</v>
      </c>
      <c r="J22" s="3">
        <v>0.6</v>
      </c>
      <c r="K22" s="3">
        <f>'Oct-2023'!K22+'Nov 2023'!J22</f>
        <v>4.12</v>
      </c>
      <c r="L22" s="3">
        <v>0</v>
      </c>
      <c r="M22" s="3">
        <f>'Oct-2023'!M22+'Nov 2023'!L22</f>
        <v>0</v>
      </c>
      <c r="N22" s="3">
        <f t="shared" si="1"/>
        <v>702.34</v>
      </c>
      <c r="O22" s="3">
        <f>'Oct-2023'!T22</f>
        <v>0.60000000000000098</v>
      </c>
      <c r="P22" s="3">
        <v>0</v>
      </c>
      <c r="Q22" s="3">
        <f>'Oct-2023'!Q22+'Nov 2023'!P22</f>
        <v>0</v>
      </c>
      <c r="R22" s="3">
        <v>0</v>
      </c>
      <c r="S22" s="3">
        <f>'Oct-2023'!S22+'Nov 2023'!R22</f>
        <v>0</v>
      </c>
      <c r="T22" s="3">
        <f t="shared" si="2"/>
        <v>0.60000000000000098</v>
      </c>
      <c r="U22" s="3">
        <f t="shared" si="3"/>
        <v>725.37000000000012</v>
      </c>
      <c r="W22" s="90"/>
    </row>
    <row r="23" spans="1:23" s="4" customFormat="1" ht="38.25" customHeight="1">
      <c r="A23" s="35">
        <v>14</v>
      </c>
      <c r="B23" s="38" t="s">
        <v>29</v>
      </c>
      <c r="C23" s="3">
        <f>'Oct-2023'!H23</f>
        <v>436.16999999999996</v>
      </c>
      <c r="D23" s="3">
        <v>0</v>
      </c>
      <c r="E23" s="3">
        <f>'Oct-2023'!E23+'Nov 2023'!D23</f>
        <v>36.53</v>
      </c>
      <c r="F23" s="3">
        <v>0</v>
      </c>
      <c r="G23" s="3">
        <f>'Oct-2023'!G23+'Nov 2023'!F23</f>
        <v>31</v>
      </c>
      <c r="H23" s="3">
        <f t="shared" si="0"/>
        <v>436.16999999999996</v>
      </c>
      <c r="I23" s="3">
        <f>'Oct-2023'!N23</f>
        <v>147.07499999999996</v>
      </c>
      <c r="J23" s="3">
        <v>1.44</v>
      </c>
      <c r="K23" s="3">
        <f>'Oct-2023'!K23+'Nov 2023'!J23</f>
        <v>8.9600000000000009</v>
      </c>
      <c r="L23" s="3">
        <v>0</v>
      </c>
      <c r="M23" s="3">
        <f>'Oct-2023'!M23+'Nov 2023'!L23</f>
        <v>0</v>
      </c>
      <c r="N23" s="3">
        <f t="shared" si="1"/>
        <v>148.51499999999996</v>
      </c>
      <c r="O23" s="3">
        <f>'Oct-2023'!T23</f>
        <v>22.5</v>
      </c>
      <c r="P23" s="3">
        <v>0</v>
      </c>
      <c r="Q23" s="3">
        <f>'Oct-2023'!Q23+'Nov 2023'!P23</f>
        <v>0</v>
      </c>
      <c r="R23" s="3">
        <v>0</v>
      </c>
      <c r="S23" s="3">
        <f>'Oct-2023'!S23+'Nov 2023'!R23</f>
        <v>0</v>
      </c>
      <c r="T23" s="3">
        <f t="shared" si="2"/>
        <v>22.5</v>
      </c>
      <c r="U23" s="3">
        <f t="shared" si="3"/>
        <v>607.18499999999995</v>
      </c>
      <c r="W23" s="90"/>
    </row>
    <row r="24" spans="1:23" s="4" customFormat="1" ht="38.25" customHeight="1">
      <c r="A24" s="34"/>
      <c r="B24" s="37" t="s">
        <v>30</v>
      </c>
      <c r="C24" s="5">
        <f>'Oct-2023'!H24</f>
        <v>1067.23</v>
      </c>
      <c r="D24" s="5">
        <f t="shared" ref="D24:U24" si="7">SUM(D20:D23)</f>
        <v>0</v>
      </c>
      <c r="E24" s="5">
        <f t="shared" si="7"/>
        <v>36.53</v>
      </c>
      <c r="F24" s="5">
        <f t="shared" si="7"/>
        <v>0</v>
      </c>
      <c r="G24" s="5">
        <f t="shared" si="7"/>
        <v>31.87</v>
      </c>
      <c r="H24" s="5">
        <f t="shared" si="7"/>
        <v>1067.23</v>
      </c>
      <c r="I24" s="5">
        <f>'Oct-2023'!N24</f>
        <v>2092.4700000000003</v>
      </c>
      <c r="J24" s="5">
        <f t="shared" si="7"/>
        <v>4.68</v>
      </c>
      <c r="K24" s="5">
        <f t="shared" si="7"/>
        <v>49.58</v>
      </c>
      <c r="L24" s="5">
        <f t="shared" si="7"/>
        <v>0</v>
      </c>
      <c r="M24" s="5">
        <f t="shared" si="7"/>
        <v>0.04</v>
      </c>
      <c r="N24" s="5">
        <f t="shared" si="7"/>
        <v>2097.15</v>
      </c>
      <c r="O24" s="5">
        <f>'Oct-2023'!T24</f>
        <v>63.330000000000005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16.239999999999998</v>
      </c>
      <c r="T24" s="5">
        <f t="shared" si="7"/>
        <v>63.330000000000005</v>
      </c>
      <c r="U24" s="5">
        <f t="shared" si="7"/>
        <v>3227.71</v>
      </c>
    </row>
    <row r="25" spans="1:23" s="4" customFormat="1" ht="38.25" customHeight="1">
      <c r="A25" s="34"/>
      <c r="B25" s="37" t="s">
        <v>31</v>
      </c>
      <c r="C25" s="5">
        <f>'Oct-2023'!H25</f>
        <v>3953.6659999999997</v>
      </c>
      <c r="D25" s="5">
        <f t="shared" ref="D25:U25" si="8">D24+D19+D15+D11</f>
        <v>2.1399999999999997</v>
      </c>
      <c r="E25" s="5">
        <f t="shared" si="8"/>
        <v>50.11</v>
      </c>
      <c r="F25" s="5">
        <f t="shared" si="8"/>
        <v>0</v>
      </c>
      <c r="G25" s="5">
        <f t="shared" si="8"/>
        <v>39.160000000000004</v>
      </c>
      <c r="H25" s="5">
        <f t="shared" si="8"/>
        <v>3955.8059999999996</v>
      </c>
      <c r="I25" s="5">
        <f>'Oct-2023'!N25</f>
        <v>9226.5329999999994</v>
      </c>
      <c r="J25" s="5">
        <f t="shared" si="8"/>
        <v>26.814999999999998</v>
      </c>
      <c r="K25" s="5">
        <f t="shared" si="8"/>
        <v>316.52800000000002</v>
      </c>
      <c r="L25" s="5">
        <f t="shared" si="8"/>
        <v>1.03</v>
      </c>
      <c r="M25" s="5">
        <f t="shared" si="8"/>
        <v>1.5</v>
      </c>
      <c r="N25" s="5">
        <f t="shared" si="8"/>
        <v>9252.3180000000011</v>
      </c>
      <c r="O25" s="5">
        <f>'Oct-2023'!T25</f>
        <v>465.37799999999999</v>
      </c>
      <c r="P25" s="5">
        <f t="shared" si="8"/>
        <v>0</v>
      </c>
      <c r="Q25" s="5">
        <f t="shared" si="8"/>
        <v>1.41</v>
      </c>
      <c r="R25" s="5">
        <f t="shared" si="8"/>
        <v>0</v>
      </c>
      <c r="S25" s="5">
        <f t="shared" si="8"/>
        <v>82.039999999999992</v>
      </c>
      <c r="T25" s="5">
        <f t="shared" si="8"/>
        <v>465.37800000000004</v>
      </c>
      <c r="U25" s="5">
        <f t="shared" si="8"/>
        <v>13673.501999999999</v>
      </c>
    </row>
    <row r="26" spans="1:23" ht="38.25" customHeight="1">
      <c r="A26" s="35">
        <v>15</v>
      </c>
      <c r="B26" s="38" t="s">
        <v>32</v>
      </c>
      <c r="C26" s="3">
        <f>'Oct-2023'!H26</f>
        <v>1665.0900000000001</v>
      </c>
      <c r="D26" s="3">
        <v>7.64</v>
      </c>
      <c r="E26" s="3">
        <f>'Oct-2023'!E26+'Nov 2023'!D26</f>
        <v>44.44</v>
      </c>
      <c r="F26" s="3">
        <v>0</v>
      </c>
      <c r="G26" s="3">
        <f>'Oct-2023'!G26+'Nov 2023'!F26</f>
        <v>0</v>
      </c>
      <c r="H26" s="3">
        <f t="shared" si="0"/>
        <v>1672.7300000000002</v>
      </c>
      <c r="I26" s="3">
        <f>'Oct-2023'!N26</f>
        <v>122.92</v>
      </c>
      <c r="J26" s="3">
        <v>0.28999999999999998</v>
      </c>
      <c r="K26" s="3">
        <f>'Oct-2023'!K26+'Nov 2023'!J26</f>
        <v>1.6600000000000001</v>
      </c>
      <c r="L26" s="3">
        <v>0</v>
      </c>
      <c r="M26" s="3">
        <f>'Oct-2023'!M26+'Nov 2023'!L26</f>
        <v>0</v>
      </c>
      <c r="N26" s="3">
        <f t="shared" si="1"/>
        <v>123.21000000000001</v>
      </c>
      <c r="O26" s="3">
        <f>'Oct-2023'!T26</f>
        <v>16.489999999999998</v>
      </c>
      <c r="P26" s="3">
        <v>0</v>
      </c>
      <c r="Q26" s="3">
        <f>'Oct-2023'!Q26+'Nov 2023'!P26</f>
        <v>0.12</v>
      </c>
      <c r="R26" s="3">
        <v>0</v>
      </c>
      <c r="S26" s="3">
        <f>'Oct-2023'!S26+'Nov 2023'!R26</f>
        <v>0</v>
      </c>
      <c r="T26" s="3">
        <f t="shared" si="2"/>
        <v>16.489999999999998</v>
      </c>
      <c r="U26" s="3">
        <f t="shared" si="3"/>
        <v>1812.4300000000003</v>
      </c>
    </row>
    <row r="27" spans="1:23" s="4" customFormat="1" ht="38.25" customHeight="1">
      <c r="A27" s="35">
        <v>16</v>
      </c>
      <c r="B27" s="38" t="s">
        <v>33</v>
      </c>
      <c r="C27" s="3">
        <f>'Oct-2023'!H27</f>
        <v>5733.1050000000041</v>
      </c>
      <c r="D27" s="3">
        <v>6.12</v>
      </c>
      <c r="E27" s="3">
        <f>'Oct-2023'!E27+'Nov 2023'!D27</f>
        <v>53.870000000000005</v>
      </c>
      <c r="F27" s="3">
        <v>0</v>
      </c>
      <c r="G27" s="3">
        <f>'Oct-2023'!G27+'Nov 2023'!F27</f>
        <v>0.02</v>
      </c>
      <c r="H27" s="3">
        <f t="shared" si="0"/>
        <v>5739.225000000004</v>
      </c>
      <c r="I27" s="3">
        <f>'Oct-2023'!N27</f>
        <v>647.70799999999986</v>
      </c>
      <c r="J27" s="3">
        <v>2</v>
      </c>
      <c r="K27" s="3">
        <f>'Oct-2023'!K27+'Nov 2023'!J27</f>
        <v>15.549999999999999</v>
      </c>
      <c r="L27" s="3">
        <v>0</v>
      </c>
      <c r="M27" s="3">
        <f>'Oct-2023'!M27+'Nov 2023'!L27</f>
        <v>0.02</v>
      </c>
      <c r="N27" s="3">
        <f t="shared" si="1"/>
        <v>649.70799999999986</v>
      </c>
      <c r="O27" s="3">
        <f>'Oct-2023'!T27</f>
        <v>34.630000000000003</v>
      </c>
      <c r="P27" s="3">
        <v>0</v>
      </c>
      <c r="Q27" s="3">
        <f>'Oct-2023'!Q27+'Nov 2023'!P27</f>
        <v>0.83000000000000007</v>
      </c>
      <c r="R27" s="3">
        <v>0</v>
      </c>
      <c r="S27" s="3">
        <f>'Oct-2023'!S27+'Nov 2023'!R27</f>
        <v>0</v>
      </c>
      <c r="T27" s="3">
        <f t="shared" si="2"/>
        <v>34.630000000000003</v>
      </c>
      <c r="U27" s="3">
        <f t="shared" si="3"/>
        <v>6423.5630000000037</v>
      </c>
    </row>
    <row r="28" spans="1:23" s="4" customFormat="1" ht="38.25" customHeight="1">
      <c r="A28" s="34"/>
      <c r="B28" s="37" t="s">
        <v>34</v>
      </c>
      <c r="C28" s="5">
        <f>'Oct-2023'!H28</f>
        <v>7398.1950000000043</v>
      </c>
      <c r="D28" s="5">
        <f t="shared" ref="D28:U28" si="9">SUM(D26:D27)</f>
        <v>13.76</v>
      </c>
      <c r="E28" s="5">
        <f t="shared" si="9"/>
        <v>98.31</v>
      </c>
      <c r="F28" s="5">
        <f t="shared" si="9"/>
        <v>0</v>
      </c>
      <c r="G28" s="5">
        <f t="shared" si="9"/>
        <v>0.02</v>
      </c>
      <c r="H28" s="5">
        <f t="shared" si="9"/>
        <v>7411.9550000000045</v>
      </c>
      <c r="I28" s="5">
        <f>'Oct-2023'!N28</f>
        <v>770.62799999999982</v>
      </c>
      <c r="J28" s="5">
        <f t="shared" si="9"/>
        <v>2.29</v>
      </c>
      <c r="K28" s="5">
        <f t="shared" si="9"/>
        <v>17.21</v>
      </c>
      <c r="L28" s="5">
        <f t="shared" si="9"/>
        <v>0</v>
      </c>
      <c r="M28" s="5">
        <f t="shared" si="9"/>
        <v>0.02</v>
      </c>
      <c r="N28" s="5">
        <f t="shared" si="9"/>
        <v>772.91799999999989</v>
      </c>
      <c r="O28" s="5">
        <f>'Oct-2023'!T28</f>
        <v>51.120000000000005</v>
      </c>
      <c r="P28" s="5">
        <f t="shared" si="9"/>
        <v>0</v>
      </c>
      <c r="Q28" s="5">
        <f t="shared" si="9"/>
        <v>0.95000000000000007</v>
      </c>
      <c r="R28" s="5">
        <f t="shared" si="9"/>
        <v>0</v>
      </c>
      <c r="S28" s="5">
        <f t="shared" si="9"/>
        <v>0</v>
      </c>
      <c r="T28" s="5">
        <f t="shared" si="9"/>
        <v>51.120000000000005</v>
      </c>
      <c r="U28" s="5">
        <f t="shared" si="9"/>
        <v>8235.993000000004</v>
      </c>
    </row>
    <row r="29" spans="1:23" ht="38.25" customHeight="1">
      <c r="A29" s="35">
        <v>17</v>
      </c>
      <c r="B29" s="38" t="s">
        <v>35</v>
      </c>
      <c r="C29" s="3">
        <f>'Oct-2023'!H29</f>
        <v>5020.8080000000009</v>
      </c>
      <c r="D29" s="3">
        <v>0.32200000000000001</v>
      </c>
      <c r="E29" s="3">
        <f>'Oct-2023'!E29+'Nov 2023'!D29</f>
        <v>140.09200000000001</v>
      </c>
      <c r="F29" s="3">
        <v>0</v>
      </c>
      <c r="G29" s="3">
        <f>'Oct-2023'!G29+'Nov 2023'!F29</f>
        <v>0</v>
      </c>
      <c r="H29" s="3">
        <f t="shared" si="0"/>
        <v>5021.130000000001</v>
      </c>
      <c r="I29" s="3">
        <f>'Oct-2023'!N29</f>
        <v>123.54000000000002</v>
      </c>
      <c r="J29" s="3">
        <v>7.0000000000000007E-2</v>
      </c>
      <c r="K29" s="3">
        <f>'Oct-2023'!K29+'Nov 2023'!J29</f>
        <v>2.0799999999999996</v>
      </c>
      <c r="L29" s="3">
        <v>0</v>
      </c>
      <c r="M29" s="3">
        <f>'Oct-2023'!M29+'Nov 2023'!L29</f>
        <v>0</v>
      </c>
      <c r="N29" s="3">
        <f t="shared" si="1"/>
        <v>123.61000000000001</v>
      </c>
      <c r="O29" s="3">
        <f>'Oct-2023'!T29</f>
        <v>34.52000000000001</v>
      </c>
      <c r="P29" s="3">
        <v>0</v>
      </c>
      <c r="Q29" s="3">
        <f>'Oct-2023'!Q29+'Nov 2023'!P29</f>
        <v>0</v>
      </c>
      <c r="R29" s="3">
        <v>0</v>
      </c>
      <c r="S29" s="3">
        <f>'Oct-2023'!S29+'Nov 2023'!R29</f>
        <v>0</v>
      </c>
      <c r="T29" s="3">
        <f t="shared" si="2"/>
        <v>34.52000000000001</v>
      </c>
      <c r="U29" s="3">
        <f t="shared" si="3"/>
        <v>5179.2600000000011</v>
      </c>
      <c r="W29" s="89"/>
    </row>
    <row r="30" spans="1:23" ht="54.75" customHeight="1">
      <c r="A30" s="35">
        <v>18</v>
      </c>
      <c r="B30" s="38" t="s">
        <v>36</v>
      </c>
      <c r="C30" s="3">
        <f>'Oct-2023'!H30</f>
        <v>3749.3799999999992</v>
      </c>
      <c r="D30" s="3">
        <v>7.915</v>
      </c>
      <c r="E30" s="3">
        <f>'Oct-2023'!E30+'Nov 2023'!D30</f>
        <v>55.145000000000003</v>
      </c>
      <c r="F30" s="3">
        <v>0</v>
      </c>
      <c r="G30" s="3">
        <f>'Oct-2023'!G30+'Nov 2023'!F30</f>
        <v>0</v>
      </c>
      <c r="H30" s="3">
        <f t="shared" si="0"/>
        <v>3757.2949999999992</v>
      </c>
      <c r="I30" s="3">
        <f>'Oct-2023'!N30</f>
        <v>232.36699999999999</v>
      </c>
      <c r="J30" s="3">
        <v>0</v>
      </c>
      <c r="K30" s="3">
        <f>'Oct-2023'!K30+'Nov 2023'!J30</f>
        <v>33.78</v>
      </c>
      <c r="L30" s="3">
        <v>0</v>
      </c>
      <c r="M30" s="3">
        <f>'Oct-2023'!M30+'Nov 2023'!L30</f>
        <v>0</v>
      </c>
      <c r="N30" s="3">
        <f t="shared" si="1"/>
        <v>232.36699999999999</v>
      </c>
      <c r="O30" s="3">
        <f>'Oct-2023'!T30</f>
        <v>23.25</v>
      </c>
      <c r="P30" s="3">
        <v>0</v>
      </c>
      <c r="Q30" s="3">
        <f>'Oct-2023'!Q30+'Nov 2023'!P30</f>
        <v>0</v>
      </c>
      <c r="R30" s="3">
        <v>0</v>
      </c>
      <c r="S30" s="3">
        <f>'Oct-2023'!S30+'Nov 2023'!R30</f>
        <v>0</v>
      </c>
      <c r="T30" s="3">
        <f t="shared" si="2"/>
        <v>23.25</v>
      </c>
      <c r="U30" s="3">
        <f t="shared" si="3"/>
        <v>4012.9119999999994</v>
      </c>
      <c r="W30" s="89"/>
    </row>
    <row r="31" spans="1:23" s="4" customFormat="1" ht="44.25" customHeight="1">
      <c r="A31" s="35">
        <v>19</v>
      </c>
      <c r="B31" s="38" t="s">
        <v>37</v>
      </c>
      <c r="C31" s="3">
        <f>'Oct-2023'!H31</f>
        <v>4714.8320000000012</v>
      </c>
      <c r="D31" s="3">
        <v>3.54</v>
      </c>
      <c r="E31" s="3">
        <f>'Oct-2023'!E31+'Nov 2023'!D31</f>
        <v>15.879999999999999</v>
      </c>
      <c r="F31" s="3">
        <v>0</v>
      </c>
      <c r="G31" s="3">
        <f>'Oct-2023'!G31+'Nov 2023'!F31</f>
        <v>0</v>
      </c>
      <c r="H31" s="3">
        <f t="shared" si="0"/>
        <v>4718.3720000000012</v>
      </c>
      <c r="I31" s="3">
        <f>'Oct-2023'!N31</f>
        <v>107.89500000000002</v>
      </c>
      <c r="J31" s="3">
        <v>0</v>
      </c>
      <c r="K31" s="3">
        <f>'Oct-2023'!K31+'Nov 2023'!J31</f>
        <v>0.20499999999999999</v>
      </c>
      <c r="L31" s="3">
        <v>0</v>
      </c>
      <c r="M31" s="3">
        <f>'Oct-2023'!M31+'Nov 2023'!L31</f>
        <v>0</v>
      </c>
      <c r="N31" s="3">
        <f t="shared" si="1"/>
        <v>107.89500000000002</v>
      </c>
      <c r="O31" s="3">
        <f>'Oct-2023'!T31</f>
        <v>14.850000000000001</v>
      </c>
      <c r="P31" s="3">
        <v>0</v>
      </c>
      <c r="Q31" s="3">
        <f>'Oct-2023'!Q31+'Nov 2023'!P31</f>
        <v>0</v>
      </c>
      <c r="R31" s="3">
        <v>0</v>
      </c>
      <c r="S31" s="3">
        <f>'Oct-2023'!S31+'Nov 2023'!R31</f>
        <v>0</v>
      </c>
      <c r="T31" s="3">
        <f t="shared" si="2"/>
        <v>14.850000000000001</v>
      </c>
      <c r="U31" s="3">
        <f t="shared" si="3"/>
        <v>4841.117000000002</v>
      </c>
      <c r="W31" s="89"/>
    </row>
    <row r="32" spans="1:23" ht="70.5" customHeight="1">
      <c r="A32" s="35">
        <v>20</v>
      </c>
      <c r="B32" s="38" t="s">
        <v>38</v>
      </c>
      <c r="C32" s="3">
        <f>'Oct-2023'!H32</f>
        <v>2382.755799999999</v>
      </c>
      <c r="D32" s="3">
        <v>6.43</v>
      </c>
      <c r="E32" s="3">
        <f>'Oct-2023'!E32+'Nov 2023'!D32</f>
        <v>24.89</v>
      </c>
      <c r="F32" s="3">
        <v>0</v>
      </c>
      <c r="G32" s="3">
        <f>'Oct-2023'!G32+'Nov 2023'!F32</f>
        <v>9.73</v>
      </c>
      <c r="H32" s="3">
        <f t="shared" si="0"/>
        <v>2389.1857999999988</v>
      </c>
      <c r="I32" s="3">
        <f>'Oct-2023'!N32</f>
        <v>110.27400000000003</v>
      </c>
      <c r="J32" s="3">
        <v>1.79</v>
      </c>
      <c r="K32" s="3">
        <f>'Oct-2023'!K32+'Nov 2023'!J32</f>
        <v>18.887999999999998</v>
      </c>
      <c r="L32" s="3">
        <v>0</v>
      </c>
      <c r="M32" s="3">
        <f>'Oct-2023'!M32+'Nov 2023'!L32</f>
        <v>0</v>
      </c>
      <c r="N32" s="3">
        <f t="shared" si="1"/>
        <v>112.06400000000004</v>
      </c>
      <c r="O32" s="3">
        <f>'Oct-2023'!T32</f>
        <v>67.551999999999992</v>
      </c>
      <c r="P32" s="3">
        <v>0</v>
      </c>
      <c r="Q32" s="3">
        <f>'Oct-2023'!Q32+'Nov 2023'!P32</f>
        <v>0</v>
      </c>
      <c r="R32" s="3">
        <v>0</v>
      </c>
      <c r="S32" s="3">
        <f>'Oct-2023'!S32+'Nov 2023'!R32</f>
        <v>0</v>
      </c>
      <c r="T32" s="3">
        <f t="shared" si="2"/>
        <v>67.551999999999992</v>
      </c>
      <c r="U32" s="3">
        <f t="shared" si="3"/>
        <v>2568.8017999999988</v>
      </c>
      <c r="W32" s="89"/>
    </row>
    <row r="33" spans="1:23" s="4" customFormat="1" ht="38.25" customHeight="1">
      <c r="A33" s="34"/>
      <c r="B33" s="37" t="s">
        <v>39</v>
      </c>
      <c r="C33" s="5">
        <f>'Oct-2023'!H33</f>
        <v>15867.775799999999</v>
      </c>
      <c r="D33" s="5">
        <f t="shared" ref="D33:U33" si="10">SUM(D29:D32)</f>
        <v>18.207000000000001</v>
      </c>
      <c r="E33" s="5">
        <f t="shared" si="10"/>
        <v>236.00700000000001</v>
      </c>
      <c r="F33" s="5">
        <f t="shared" si="10"/>
        <v>0</v>
      </c>
      <c r="G33" s="5">
        <f t="shared" si="10"/>
        <v>9.73</v>
      </c>
      <c r="H33" s="5">
        <f t="shared" si="10"/>
        <v>15885.9828</v>
      </c>
      <c r="I33" s="5">
        <f>'Oct-2023'!N33</f>
        <v>574.07600000000014</v>
      </c>
      <c r="J33" s="5">
        <f t="shared" si="10"/>
        <v>1.86</v>
      </c>
      <c r="K33" s="5">
        <f t="shared" si="10"/>
        <v>54.952999999999996</v>
      </c>
      <c r="L33" s="5">
        <f t="shared" si="10"/>
        <v>0</v>
      </c>
      <c r="M33" s="5">
        <f t="shared" si="10"/>
        <v>0</v>
      </c>
      <c r="N33" s="5">
        <f t="shared" si="10"/>
        <v>575.93600000000004</v>
      </c>
      <c r="O33" s="5">
        <f>'Oct-2023'!T33</f>
        <v>140.172</v>
      </c>
      <c r="P33" s="5">
        <f t="shared" si="10"/>
        <v>0</v>
      </c>
      <c r="Q33" s="5">
        <f t="shared" si="10"/>
        <v>0</v>
      </c>
      <c r="R33" s="5">
        <f t="shared" si="10"/>
        <v>0</v>
      </c>
      <c r="S33" s="5">
        <f t="shared" si="10"/>
        <v>0</v>
      </c>
      <c r="T33" s="5">
        <f t="shared" si="10"/>
        <v>140.172</v>
      </c>
      <c r="U33" s="5">
        <f t="shared" si="10"/>
        <v>16602.090800000002</v>
      </c>
    </row>
    <row r="34" spans="1:23" ht="38.25" customHeight="1">
      <c r="A34" s="35">
        <v>21</v>
      </c>
      <c r="B34" s="38" t="s">
        <v>40</v>
      </c>
      <c r="C34" s="3">
        <f>'Oct-2023'!H34</f>
        <v>5728.3899999999994</v>
      </c>
      <c r="D34" s="3">
        <f>3.08+159.25</f>
        <v>162.33000000000001</v>
      </c>
      <c r="E34" s="3">
        <f>'Oct-2023'!E34+'Nov 2023'!D34</f>
        <v>1306.6899999999998</v>
      </c>
      <c r="F34" s="3">
        <v>0</v>
      </c>
      <c r="G34" s="3">
        <f>'Oct-2023'!G34+'Nov 2023'!F34</f>
        <v>2.72</v>
      </c>
      <c r="H34" s="3">
        <f t="shared" si="0"/>
        <v>5890.7199999999993</v>
      </c>
      <c r="I34" s="3">
        <f>'Oct-2023'!N34</f>
        <v>116.16999999999999</v>
      </c>
      <c r="J34" s="3">
        <v>0</v>
      </c>
      <c r="K34" s="3">
        <f>'Oct-2023'!K34+'Nov 2023'!J34</f>
        <v>8.09</v>
      </c>
      <c r="L34" s="3">
        <v>0</v>
      </c>
      <c r="M34" s="3">
        <f>'Oct-2023'!M34+'Nov 2023'!L34</f>
        <v>0</v>
      </c>
      <c r="N34" s="3">
        <f t="shared" si="1"/>
        <v>116.16999999999999</v>
      </c>
      <c r="O34" s="3">
        <f>'Oct-2023'!T34</f>
        <v>72.7</v>
      </c>
      <c r="P34" s="3">
        <v>0</v>
      </c>
      <c r="Q34" s="3">
        <f>'Oct-2023'!Q34+'Nov 2023'!P34</f>
        <v>0</v>
      </c>
      <c r="R34" s="3">
        <v>0</v>
      </c>
      <c r="S34" s="3">
        <f>'Oct-2023'!S34+'Nov 2023'!R34</f>
        <v>0</v>
      </c>
      <c r="T34" s="3">
        <f t="shared" si="2"/>
        <v>72.7</v>
      </c>
      <c r="U34" s="3">
        <f t="shared" si="3"/>
        <v>6079.5899999999992</v>
      </c>
      <c r="V34" s="36"/>
      <c r="W34" s="13"/>
    </row>
    <row r="35" spans="1:23" ht="38.25" customHeight="1">
      <c r="A35" s="35">
        <v>22</v>
      </c>
      <c r="B35" s="38" t="s">
        <v>41</v>
      </c>
      <c r="C35" s="3">
        <f>'Oct-2023'!H35</f>
        <v>6878.4999999999973</v>
      </c>
      <c r="D35" s="3">
        <f>18.41+9</f>
        <v>27.41</v>
      </c>
      <c r="E35" s="3">
        <f>'Oct-2023'!E35+'Nov 2023'!D35</f>
        <v>222.29</v>
      </c>
      <c r="F35" s="3">
        <v>0</v>
      </c>
      <c r="G35" s="3">
        <f>'Oct-2023'!G35+'Nov 2023'!F35</f>
        <v>0</v>
      </c>
      <c r="H35" s="3">
        <f t="shared" si="0"/>
        <v>6905.9099999999971</v>
      </c>
      <c r="I35" s="3">
        <f>'Oct-2023'!N35</f>
        <v>34.17</v>
      </c>
      <c r="J35" s="3">
        <v>0</v>
      </c>
      <c r="K35" s="3">
        <f>'Oct-2023'!K35+'Nov 2023'!J35</f>
        <v>0.04</v>
      </c>
      <c r="L35" s="3">
        <v>0</v>
      </c>
      <c r="M35" s="3">
        <f>'Oct-2023'!M35+'Nov 2023'!L35</f>
        <v>0</v>
      </c>
      <c r="N35" s="3">
        <f t="shared" si="1"/>
        <v>34.17</v>
      </c>
      <c r="O35" s="3">
        <f>'Oct-2023'!T35</f>
        <v>90.800000000000011</v>
      </c>
      <c r="P35" s="3">
        <v>0</v>
      </c>
      <c r="Q35" s="3">
        <f>'Oct-2023'!Q35+'Nov 2023'!P35</f>
        <v>0</v>
      </c>
      <c r="R35" s="3">
        <v>0</v>
      </c>
      <c r="S35" s="3">
        <f>'Oct-2023'!S35+'Nov 2023'!R35</f>
        <v>0</v>
      </c>
      <c r="T35" s="3">
        <f t="shared" si="2"/>
        <v>90.800000000000011</v>
      </c>
      <c r="U35" s="3">
        <f t="shared" si="3"/>
        <v>7030.8799999999974</v>
      </c>
      <c r="V35" s="36"/>
      <c r="W35" s="13"/>
    </row>
    <row r="36" spans="1:23" s="4" customFormat="1" ht="38.25" customHeight="1">
      <c r="A36" s="35">
        <v>23</v>
      </c>
      <c r="B36" s="38" t="s">
        <v>42</v>
      </c>
      <c r="C36" s="3">
        <f>'Oct-2023'!H36</f>
        <v>7290.98</v>
      </c>
      <c r="D36" s="3">
        <f>8.52+489.65</f>
        <v>498.16999999999996</v>
      </c>
      <c r="E36" s="3">
        <f>'Oct-2023'!E36+'Nov 2023'!D36</f>
        <v>4091.4900000000002</v>
      </c>
      <c r="F36" s="3">
        <v>0</v>
      </c>
      <c r="G36" s="3">
        <f>'Oct-2023'!G36+'Nov 2023'!F36</f>
        <v>0</v>
      </c>
      <c r="H36" s="3">
        <f t="shared" si="0"/>
        <v>7789.15</v>
      </c>
      <c r="I36" s="3">
        <f>'Oct-2023'!N36</f>
        <v>31.070000000000039</v>
      </c>
      <c r="J36" s="3">
        <v>0</v>
      </c>
      <c r="K36" s="3">
        <f>'Oct-2023'!K36+'Nov 2023'!J36</f>
        <v>0.82000000000000006</v>
      </c>
      <c r="L36" s="3">
        <v>0</v>
      </c>
      <c r="M36" s="3">
        <f>'Oct-2023'!M36+'Nov 2023'!L36</f>
        <v>0</v>
      </c>
      <c r="N36" s="3">
        <f t="shared" si="1"/>
        <v>31.070000000000039</v>
      </c>
      <c r="O36" s="3">
        <f>'Oct-2023'!T36</f>
        <v>36.379999999999995</v>
      </c>
      <c r="P36" s="3">
        <v>0</v>
      </c>
      <c r="Q36" s="3">
        <f>'Oct-2023'!Q36+'Nov 2023'!P36</f>
        <v>0</v>
      </c>
      <c r="R36" s="3">
        <v>0</v>
      </c>
      <c r="S36" s="3">
        <f>'Oct-2023'!S36+'Nov 2023'!R36</f>
        <v>0</v>
      </c>
      <c r="T36" s="3">
        <f t="shared" si="2"/>
        <v>36.379999999999995</v>
      </c>
      <c r="U36" s="3">
        <f t="shared" si="3"/>
        <v>7856.5999999999995</v>
      </c>
      <c r="V36" s="9"/>
      <c r="W36" s="13"/>
    </row>
    <row r="37" spans="1:23" s="4" customFormat="1" ht="38.25" customHeight="1">
      <c r="A37" s="35">
        <v>24</v>
      </c>
      <c r="B37" s="38" t="s">
        <v>43</v>
      </c>
      <c r="C37" s="3">
        <f>'Oct-2023'!H37</f>
        <v>5197.7399999999989</v>
      </c>
      <c r="D37" s="3">
        <v>2.2599999999999998</v>
      </c>
      <c r="E37" s="3">
        <f>'Oct-2023'!E37+'Nov 2023'!D37</f>
        <v>105.49000000000001</v>
      </c>
      <c r="F37" s="3">
        <v>0</v>
      </c>
      <c r="G37" s="3">
        <f>'Oct-2023'!G37+'Nov 2023'!F37</f>
        <v>0</v>
      </c>
      <c r="H37" s="3">
        <f t="shared" si="0"/>
        <v>5199.9999999999991</v>
      </c>
      <c r="I37" s="3">
        <f>'Oct-2023'!N37</f>
        <v>26.700000000000003</v>
      </c>
      <c r="J37" s="3">
        <v>0</v>
      </c>
      <c r="K37" s="3">
        <f>'Oct-2023'!K37+'Nov 2023'!J37</f>
        <v>0</v>
      </c>
      <c r="L37" s="3">
        <v>0</v>
      </c>
      <c r="M37" s="3">
        <f>'Oct-2023'!M37+'Nov 2023'!L37</f>
        <v>0</v>
      </c>
      <c r="N37" s="3">
        <f t="shared" si="1"/>
        <v>26.700000000000003</v>
      </c>
      <c r="O37" s="3">
        <f>'Oct-2023'!T37</f>
        <v>3.0599999999999996</v>
      </c>
      <c r="P37" s="3">
        <v>0</v>
      </c>
      <c r="Q37" s="3">
        <f>'Oct-2023'!Q37+'Nov 2023'!P37</f>
        <v>0</v>
      </c>
      <c r="R37" s="3">
        <v>0</v>
      </c>
      <c r="S37" s="3">
        <f>'Oct-2023'!S37+'Nov 2023'!R37</f>
        <v>0</v>
      </c>
      <c r="T37" s="3">
        <f t="shared" si="2"/>
        <v>3.0599999999999996</v>
      </c>
      <c r="U37" s="3">
        <f t="shared" si="3"/>
        <v>5229.7599999999993</v>
      </c>
      <c r="V37" s="9"/>
      <c r="W37" s="13"/>
    </row>
    <row r="38" spans="1:23" s="4" customFormat="1" ht="38.25" customHeight="1">
      <c r="A38" s="34"/>
      <c r="B38" s="37" t="s">
        <v>44</v>
      </c>
      <c r="C38" s="5">
        <f>'Oct-2023'!H38</f>
        <v>25095.609999999993</v>
      </c>
      <c r="D38" s="5">
        <f t="shared" ref="D38:U38" si="11">SUM(D34:D37)</f>
        <v>690.17</v>
      </c>
      <c r="E38" s="5">
        <f t="shared" si="11"/>
        <v>5725.96</v>
      </c>
      <c r="F38" s="5">
        <f t="shared" si="11"/>
        <v>0</v>
      </c>
      <c r="G38" s="5">
        <f t="shared" si="11"/>
        <v>2.72</v>
      </c>
      <c r="H38" s="5">
        <f t="shared" si="11"/>
        <v>25785.78</v>
      </c>
      <c r="I38" s="5">
        <f>'Oct-2023'!N38</f>
        <v>208.11</v>
      </c>
      <c r="J38" s="5">
        <f t="shared" si="11"/>
        <v>0</v>
      </c>
      <c r="K38" s="5">
        <f t="shared" si="11"/>
        <v>8.9499999999999993</v>
      </c>
      <c r="L38" s="5">
        <f t="shared" si="11"/>
        <v>0</v>
      </c>
      <c r="M38" s="5">
        <f t="shared" si="11"/>
        <v>0</v>
      </c>
      <c r="N38" s="5">
        <f t="shared" si="11"/>
        <v>208.11</v>
      </c>
      <c r="O38" s="5">
        <f>'Oct-2023'!T38</f>
        <v>202.94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202.94</v>
      </c>
      <c r="U38" s="5">
        <f t="shared" si="11"/>
        <v>26196.829999999994</v>
      </c>
    </row>
    <row r="39" spans="1:23" s="4" customFormat="1" ht="38.25" customHeight="1">
      <c r="A39" s="34"/>
      <c r="B39" s="37" t="s">
        <v>45</v>
      </c>
      <c r="C39" s="5">
        <f>'Oct-2023'!H39</f>
        <v>48361.580799999996</v>
      </c>
      <c r="D39" s="5">
        <f t="shared" ref="D39:U39" si="12">D38+D33+D28</f>
        <v>722.13699999999994</v>
      </c>
      <c r="E39" s="5">
        <f t="shared" si="12"/>
        <v>6060.277</v>
      </c>
      <c r="F39" s="5">
        <f t="shared" si="12"/>
        <v>0</v>
      </c>
      <c r="G39" s="5">
        <f t="shared" si="12"/>
        <v>12.47</v>
      </c>
      <c r="H39" s="5">
        <f t="shared" si="12"/>
        <v>49083.717799999999</v>
      </c>
      <c r="I39" s="5">
        <f>'Oct-2023'!N39</f>
        <v>1552.8139999999999</v>
      </c>
      <c r="J39" s="5">
        <f t="shared" si="12"/>
        <v>4.1500000000000004</v>
      </c>
      <c r="K39" s="5">
        <f t="shared" si="12"/>
        <v>81.113</v>
      </c>
      <c r="L39" s="5">
        <f t="shared" si="12"/>
        <v>0</v>
      </c>
      <c r="M39" s="5">
        <f t="shared" si="12"/>
        <v>0.02</v>
      </c>
      <c r="N39" s="5">
        <f t="shared" si="12"/>
        <v>1556.9639999999999</v>
      </c>
      <c r="O39" s="5">
        <f>'Oct-2023'!T39</f>
        <v>394.23199999999997</v>
      </c>
      <c r="P39" s="5">
        <f t="shared" si="12"/>
        <v>0</v>
      </c>
      <c r="Q39" s="5">
        <f t="shared" si="12"/>
        <v>0.95000000000000007</v>
      </c>
      <c r="R39" s="5">
        <f t="shared" si="12"/>
        <v>0</v>
      </c>
      <c r="S39" s="5">
        <f t="shared" si="12"/>
        <v>0</v>
      </c>
      <c r="T39" s="5">
        <f t="shared" si="12"/>
        <v>394.23199999999997</v>
      </c>
      <c r="U39" s="5">
        <f t="shared" si="12"/>
        <v>51034.913799999995</v>
      </c>
    </row>
    <row r="40" spans="1:23" ht="38.25" customHeight="1">
      <c r="A40" s="35">
        <v>25</v>
      </c>
      <c r="B40" s="38" t="s">
        <v>46</v>
      </c>
      <c r="C40" s="3">
        <f>'Oct-2023'!H40</f>
        <v>13561.113999999996</v>
      </c>
      <c r="D40" s="3">
        <f>6.46+232.46</f>
        <v>238.92000000000002</v>
      </c>
      <c r="E40" s="3">
        <f>'Oct-2023'!E40+'Nov 2023'!D40</f>
        <v>1942.4100000000003</v>
      </c>
      <c r="F40" s="3">
        <v>0</v>
      </c>
      <c r="G40" s="3">
        <f>'Oct-2023'!G40+'Nov 2023'!F40</f>
        <v>0</v>
      </c>
      <c r="H40" s="3">
        <f t="shared" si="0"/>
        <v>13800.033999999996</v>
      </c>
      <c r="I40" s="3">
        <f>'Oct-2023'!N40</f>
        <v>198.73</v>
      </c>
      <c r="J40" s="3">
        <v>0</v>
      </c>
      <c r="K40" s="3">
        <f>'Oct-2023'!K40+'Nov 2023'!J40</f>
        <v>0</v>
      </c>
      <c r="L40" s="3">
        <v>0</v>
      </c>
      <c r="M40" s="3">
        <f>'Oct-2023'!M40+'Nov 2023'!L40</f>
        <v>0</v>
      </c>
      <c r="N40" s="3">
        <f t="shared" si="1"/>
        <v>198.73</v>
      </c>
      <c r="O40" s="3">
        <f>'Oct-2023'!T40</f>
        <v>106.93</v>
      </c>
      <c r="P40" s="3">
        <v>0</v>
      </c>
      <c r="Q40" s="3">
        <f>'Oct-2023'!Q40+'Nov 2023'!P40</f>
        <v>0</v>
      </c>
      <c r="R40" s="3">
        <v>0</v>
      </c>
      <c r="S40" s="3">
        <f>'Oct-2023'!S40+'Nov 2023'!R40</f>
        <v>0</v>
      </c>
      <c r="T40" s="3">
        <f t="shared" si="2"/>
        <v>106.93</v>
      </c>
      <c r="U40" s="3">
        <f t="shared" si="3"/>
        <v>14105.693999999996</v>
      </c>
    </row>
    <row r="41" spans="1:23" ht="38.25" customHeight="1">
      <c r="A41" s="35">
        <v>26</v>
      </c>
      <c r="B41" s="38" t="s">
        <v>47</v>
      </c>
      <c r="C41" s="3">
        <f>'Oct-2023'!H41</f>
        <v>8886.648999999994</v>
      </c>
      <c r="D41" s="3">
        <f>1.41+43.81</f>
        <v>45.22</v>
      </c>
      <c r="E41" s="3">
        <f>'Oct-2023'!E41+'Nov 2023'!D41</f>
        <v>484.47</v>
      </c>
      <c r="F41" s="3">
        <v>0</v>
      </c>
      <c r="G41" s="3">
        <f>'Oct-2023'!G41+'Nov 2023'!F41</f>
        <v>0</v>
      </c>
      <c r="H41" s="3">
        <f t="shared" si="0"/>
        <v>8931.8689999999933</v>
      </c>
      <c r="I41" s="3">
        <f>'Oct-2023'!N41</f>
        <v>8.67</v>
      </c>
      <c r="J41" s="3">
        <v>0</v>
      </c>
      <c r="K41" s="3">
        <f>'Oct-2023'!K41+'Nov 2023'!J41</f>
        <v>0</v>
      </c>
      <c r="L41" s="3">
        <v>0</v>
      </c>
      <c r="M41" s="3">
        <f>'Oct-2023'!M41+'Nov 2023'!L41</f>
        <v>0</v>
      </c>
      <c r="N41" s="3">
        <f t="shared" si="1"/>
        <v>8.67</v>
      </c>
      <c r="O41" s="3">
        <f>'Oct-2023'!T41</f>
        <v>141.29000000000002</v>
      </c>
      <c r="P41" s="3">
        <v>0</v>
      </c>
      <c r="Q41" s="3">
        <f>'Oct-2023'!Q41+'Nov 2023'!P41</f>
        <v>0</v>
      </c>
      <c r="R41" s="3">
        <v>0</v>
      </c>
      <c r="S41" s="3">
        <f>'Oct-2023'!S41+'Nov 2023'!R41</f>
        <v>0</v>
      </c>
      <c r="T41" s="3">
        <f t="shared" si="2"/>
        <v>141.29000000000002</v>
      </c>
      <c r="U41" s="3">
        <f t="shared" si="3"/>
        <v>9081.8289999999943</v>
      </c>
    </row>
    <row r="42" spans="1:23" s="4" customFormat="1" ht="38.25" customHeight="1">
      <c r="A42" s="35">
        <v>27</v>
      </c>
      <c r="B42" s="38" t="s">
        <v>48</v>
      </c>
      <c r="C42" s="3">
        <f>'Oct-2023'!H42</f>
        <v>15950.227999999996</v>
      </c>
      <c r="D42" s="3">
        <f>15.344+266.11</f>
        <v>281.45400000000001</v>
      </c>
      <c r="E42" s="3">
        <f>'Oct-2023'!E42+'Nov 2023'!D42</f>
        <v>2278.0090000000005</v>
      </c>
      <c r="F42" s="3">
        <v>0</v>
      </c>
      <c r="G42" s="3">
        <f>'Oct-2023'!G42+'Nov 2023'!F42</f>
        <v>0</v>
      </c>
      <c r="H42" s="3">
        <f t="shared" si="0"/>
        <v>16231.681999999995</v>
      </c>
      <c r="I42" s="3">
        <f>'Oct-2023'!N42</f>
        <v>15.62</v>
      </c>
      <c r="J42" s="3">
        <v>0</v>
      </c>
      <c r="K42" s="3">
        <f>'Oct-2023'!K42+'Nov 2023'!J42</f>
        <v>0</v>
      </c>
      <c r="L42" s="3">
        <v>0</v>
      </c>
      <c r="M42" s="3">
        <f>'Oct-2023'!M42+'Nov 2023'!L42</f>
        <v>0</v>
      </c>
      <c r="N42" s="3">
        <f t="shared" si="1"/>
        <v>15.62</v>
      </c>
      <c r="O42" s="3">
        <f>'Oct-2023'!T42</f>
        <v>205.35</v>
      </c>
      <c r="P42" s="3">
        <v>0</v>
      </c>
      <c r="Q42" s="3">
        <f>'Oct-2023'!Q42+'Nov 2023'!P42</f>
        <v>0</v>
      </c>
      <c r="R42" s="3">
        <v>0</v>
      </c>
      <c r="S42" s="3">
        <f>'Oct-2023'!S42+'Nov 2023'!R42</f>
        <v>0</v>
      </c>
      <c r="T42" s="3">
        <f t="shared" si="2"/>
        <v>205.35</v>
      </c>
      <c r="U42" s="3">
        <f t="shared" si="3"/>
        <v>16452.651999999995</v>
      </c>
    </row>
    <row r="43" spans="1:23" ht="38.25" customHeight="1">
      <c r="A43" s="35">
        <v>28</v>
      </c>
      <c r="B43" s="38" t="s">
        <v>49</v>
      </c>
      <c r="C43" s="3">
        <f>'Oct-2023'!H43</f>
        <v>4625.7100000000009</v>
      </c>
      <c r="D43" s="3">
        <f>2.75+39.35</f>
        <v>42.1</v>
      </c>
      <c r="E43" s="3">
        <f>'Oct-2023'!E43+'Nov 2023'!D43</f>
        <v>465.85</v>
      </c>
      <c r="F43" s="3">
        <v>0</v>
      </c>
      <c r="G43" s="3">
        <f>'Oct-2023'!G43+'Nov 2023'!F43</f>
        <v>0</v>
      </c>
      <c r="H43" s="3">
        <f t="shared" si="0"/>
        <v>4667.8100000000013</v>
      </c>
      <c r="I43" s="3">
        <f>'Oct-2023'!N43</f>
        <v>3.5</v>
      </c>
      <c r="J43" s="3">
        <v>0</v>
      </c>
      <c r="K43" s="3">
        <f>'Oct-2023'!K43+'Nov 2023'!J43</f>
        <v>0</v>
      </c>
      <c r="L43" s="3">
        <v>0</v>
      </c>
      <c r="M43" s="3">
        <f>'Oct-2023'!M43+'Nov 2023'!L43</f>
        <v>0</v>
      </c>
      <c r="N43" s="3">
        <f t="shared" si="1"/>
        <v>3.5</v>
      </c>
      <c r="O43" s="3">
        <f>'Oct-2023'!T43</f>
        <v>29.8</v>
      </c>
      <c r="P43" s="3">
        <v>0</v>
      </c>
      <c r="Q43" s="3">
        <f>'Oct-2023'!Q43+'Nov 2023'!P43</f>
        <v>0</v>
      </c>
      <c r="R43" s="3">
        <v>0</v>
      </c>
      <c r="S43" s="3">
        <f>'Oct-2023'!S43+'Nov 2023'!R43</f>
        <v>0</v>
      </c>
      <c r="T43" s="3">
        <f t="shared" si="2"/>
        <v>29.8</v>
      </c>
      <c r="U43" s="3">
        <f t="shared" si="3"/>
        <v>4701.1100000000015</v>
      </c>
    </row>
    <row r="44" spans="1:23" s="4" customFormat="1" ht="38.25" customHeight="1">
      <c r="A44" s="34"/>
      <c r="B44" s="37" t="s">
        <v>50</v>
      </c>
      <c r="C44" s="5">
        <f>'Oct-2023'!H44</f>
        <v>43023.700999999986</v>
      </c>
      <c r="D44" s="5">
        <f t="shared" ref="D44:U44" si="13">SUM(D40:D43)</f>
        <v>607.69400000000007</v>
      </c>
      <c r="E44" s="5">
        <f t="shared" si="13"/>
        <v>5170.7390000000014</v>
      </c>
      <c r="F44" s="5">
        <f t="shared" si="13"/>
        <v>0</v>
      </c>
      <c r="G44" s="5">
        <f t="shared" si="13"/>
        <v>0</v>
      </c>
      <c r="H44" s="5">
        <f t="shared" si="13"/>
        <v>43631.39499999999</v>
      </c>
      <c r="I44" s="5">
        <f>'Oct-2023'!N44</f>
        <v>226.51999999999998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226.51999999999998</v>
      </c>
      <c r="O44" s="5">
        <f>'Oct-2023'!T44</f>
        <v>483.37000000000006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483.37000000000006</v>
      </c>
      <c r="U44" s="5">
        <f t="shared" si="13"/>
        <v>44341.284999999989</v>
      </c>
    </row>
    <row r="45" spans="1:23" ht="38.25" customHeight="1">
      <c r="A45" s="35">
        <v>29</v>
      </c>
      <c r="B45" s="38" t="s">
        <v>51</v>
      </c>
      <c r="C45" s="3">
        <f>'Oct-2023'!H45</f>
        <v>8480.7520999999979</v>
      </c>
      <c r="D45" s="3">
        <v>9.59</v>
      </c>
      <c r="E45" s="3">
        <f>'Oct-2023'!E45+'Nov 2023'!D45</f>
        <v>126.53</v>
      </c>
      <c r="F45" s="3">
        <v>0</v>
      </c>
      <c r="G45" s="3">
        <f>'Oct-2023'!G45+'Nov 2023'!F45</f>
        <v>0</v>
      </c>
      <c r="H45" s="3">
        <f t="shared" si="0"/>
        <v>8490.342099999998</v>
      </c>
      <c r="I45" s="3">
        <f>'Oct-2023'!N45</f>
        <v>261.55999999999995</v>
      </c>
      <c r="J45" s="3">
        <v>0.12</v>
      </c>
      <c r="K45" s="3">
        <f>'Oct-2023'!K45+'Nov 2023'!J45</f>
        <v>0.63</v>
      </c>
      <c r="L45" s="3">
        <v>0</v>
      </c>
      <c r="M45" s="3">
        <f>'Oct-2023'!M45+'Nov 2023'!L45</f>
        <v>0</v>
      </c>
      <c r="N45" s="3">
        <f t="shared" si="1"/>
        <v>261.67999999999995</v>
      </c>
      <c r="O45" s="3">
        <f>'Oct-2023'!T45</f>
        <v>84.53</v>
      </c>
      <c r="P45" s="3">
        <v>0</v>
      </c>
      <c r="Q45" s="3">
        <f>'Oct-2023'!Q45+'Nov 2023'!P45</f>
        <v>0.14000000000000001</v>
      </c>
      <c r="R45" s="3">
        <v>0</v>
      </c>
      <c r="S45" s="3">
        <f>'Oct-2023'!S45+'Nov 2023'!R45</f>
        <v>0</v>
      </c>
      <c r="T45" s="3">
        <f t="shared" si="2"/>
        <v>84.53</v>
      </c>
      <c r="U45" s="3">
        <f t="shared" si="3"/>
        <v>8836.552099999999</v>
      </c>
    </row>
    <row r="46" spans="1:23" ht="38.25" customHeight="1">
      <c r="A46" s="35">
        <v>30</v>
      </c>
      <c r="B46" s="38" t="s">
        <v>52</v>
      </c>
      <c r="C46" s="3">
        <f>'Oct-2023'!H46</f>
        <v>8124.0550000000012</v>
      </c>
      <c r="D46" s="3">
        <v>15.84</v>
      </c>
      <c r="E46" s="3">
        <f>'Oct-2023'!E46+'Nov 2023'!D46</f>
        <v>192.66</v>
      </c>
      <c r="F46" s="3">
        <v>0</v>
      </c>
      <c r="G46" s="3">
        <f>'Oct-2023'!G46+'Nov 2023'!F46</f>
        <v>0</v>
      </c>
      <c r="H46" s="3">
        <f t="shared" si="0"/>
        <v>8139.8950000000013</v>
      </c>
      <c r="I46" s="3">
        <f>'Oct-2023'!N46</f>
        <v>0</v>
      </c>
      <c r="J46" s="3">
        <v>0</v>
      </c>
      <c r="K46" s="3">
        <f>'Oct-2023'!K46+'Nov 2023'!J46</f>
        <v>0</v>
      </c>
      <c r="L46" s="3">
        <v>0</v>
      </c>
      <c r="M46" s="3">
        <f>'Oct-2023'!M46+'Nov 2023'!L46</f>
        <v>0</v>
      </c>
      <c r="N46" s="3">
        <f t="shared" si="1"/>
        <v>0</v>
      </c>
      <c r="O46" s="3">
        <f>'Oct-2023'!T46</f>
        <v>47.03</v>
      </c>
      <c r="P46" s="3">
        <v>5.5</v>
      </c>
      <c r="Q46" s="3">
        <f>'Oct-2023'!Q46+'Nov 2023'!P46</f>
        <v>5.5</v>
      </c>
      <c r="R46" s="3">
        <v>0</v>
      </c>
      <c r="S46" s="3">
        <f>'Oct-2023'!S46+'Nov 2023'!R46</f>
        <v>0</v>
      </c>
      <c r="T46" s="3">
        <f t="shared" si="2"/>
        <v>52.53</v>
      </c>
      <c r="U46" s="3">
        <f t="shared" si="3"/>
        <v>8192.4250000000011</v>
      </c>
    </row>
    <row r="47" spans="1:23" s="4" customFormat="1" ht="38.25" customHeight="1">
      <c r="A47" s="35">
        <v>31</v>
      </c>
      <c r="B47" s="38" t="s">
        <v>53</v>
      </c>
      <c r="C47" s="3">
        <f>'Oct-2023'!H47</f>
        <v>9369.1699999999946</v>
      </c>
      <c r="D47" s="3">
        <v>12.43</v>
      </c>
      <c r="E47" s="3">
        <f>'Oct-2023'!E47+'Nov 2023'!D47</f>
        <v>303.89999999999992</v>
      </c>
      <c r="F47" s="3">
        <v>0</v>
      </c>
      <c r="G47" s="3">
        <f>'Oct-2023'!G47+'Nov 2023'!F47</f>
        <v>0</v>
      </c>
      <c r="H47" s="3">
        <f t="shared" si="0"/>
        <v>9381.5999999999949</v>
      </c>
      <c r="I47" s="3">
        <f>'Oct-2023'!N47</f>
        <v>3.13</v>
      </c>
      <c r="J47" s="3">
        <v>0</v>
      </c>
      <c r="K47" s="3">
        <f>'Oct-2023'!K47+'Nov 2023'!J47</f>
        <v>0</v>
      </c>
      <c r="L47" s="3">
        <v>0</v>
      </c>
      <c r="M47" s="3">
        <f>'Oct-2023'!M47+'Nov 2023'!L47</f>
        <v>0</v>
      </c>
      <c r="N47" s="3">
        <f t="shared" si="1"/>
        <v>3.13</v>
      </c>
      <c r="O47" s="3">
        <f>'Oct-2023'!T47</f>
        <v>118.94999999999999</v>
      </c>
      <c r="P47" s="3">
        <v>0</v>
      </c>
      <c r="Q47" s="3">
        <f>'Oct-2023'!Q47+'Nov 2023'!P47</f>
        <v>0</v>
      </c>
      <c r="R47" s="3">
        <v>0</v>
      </c>
      <c r="S47" s="3">
        <f>'Oct-2023'!S47+'Nov 2023'!R47</f>
        <v>0</v>
      </c>
      <c r="T47" s="3">
        <f t="shared" si="2"/>
        <v>118.94999999999999</v>
      </c>
      <c r="U47" s="3">
        <f t="shared" si="3"/>
        <v>9503.6799999999948</v>
      </c>
    </row>
    <row r="48" spans="1:23" s="4" customFormat="1" ht="38.25" customHeight="1">
      <c r="A48" s="35">
        <v>32</v>
      </c>
      <c r="B48" s="38" t="s">
        <v>54</v>
      </c>
      <c r="C48" s="3">
        <f>'Oct-2023'!H48</f>
        <v>8657.3689999999988</v>
      </c>
      <c r="D48" s="3">
        <v>1.65</v>
      </c>
      <c r="E48" s="3">
        <f>'Oct-2023'!E48+'Nov 2023'!D48</f>
        <v>53.07</v>
      </c>
      <c r="F48" s="3">
        <v>0</v>
      </c>
      <c r="G48" s="3">
        <f>'Oct-2023'!G48+'Nov 2023'!F48</f>
        <v>0</v>
      </c>
      <c r="H48" s="3">
        <f t="shared" si="0"/>
        <v>8659.0189999999984</v>
      </c>
      <c r="I48" s="3">
        <f>'Oct-2023'!N48</f>
        <v>5.0249999999999995</v>
      </c>
      <c r="J48" s="3">
        <v>0</v>
      </c>
      <c r="K48" s="3">
        <f>'Oct-2023'!K48+'Nov 2023'!J48</f>
        <v>0</v>
      </c>
      <c r="L48" s="3">
        <v>0</v>
      </c>
      <c r="M48" s="3">
        <f>'Oct-2023'!M48+'Nov 2023'!L48</f>
        <v>0</v>
      </c>
      <c r="N48" s="3">
        <f t="shared" si="1"/>
        <v>5.0249999999999995</v>
      </c>
      <c r="O48" s="3">
        <f>'Oct-2023'!T48</f>
        <v>4.21</v>
      </c>
      <c r="P48" s="3">
        <v>0</v>
      </c>
      <c r="Q48" s="3">
        <f>'Oct-2023'!Q48+'Nov 2023'!P48</f>
        <v>0</v>
      </c>
      <c r="R48" s="3">
        <v>0</v>
      </c>
      <c r="S48" s="3">
        <f>'Oct-2023'!S48+'Nov 2023'!R48</f>
        <v>0</v>
      </c>
      <c r="T48" s="3">
        <f t="shared" si="2"/>
        <v>4.21</v>
      </c>
      <c r="U48" s="3">
        <f t="shared" si="3"/>
        <v>8668.2539999999972</v>
      </c>
    </row>
    <row r="49" spans="1:24" s="4" customFormat="1" ht="38.25" customHeight="1">
      <c r="A49" s="34"/>
      <c r="B49" s="37" t="s">
        <v>55</v>
      </c>
      <c r="C49" s="5">
        <f>'Oct-2023'!H49</f>
        <v>34631.346099999995</v>
      </c>
      <c r="D49" s="5">
        <f t="shared" ref="D49:U49" si="14">SUM(D45:D48)</f>
        <v>39.51</v>
      </c>
      <c r="E49" s="5">
        <f t="shared" si="14"/>
        <v>676.16</v>
      </c>
      <c r="F49" s="5">
        <f t="shared" si="14"/>
        <v>0</v>
      </c>
      <c r="G49" s="5">
        <f t="shared" si="14"/>
        <v>0</v>
      </c>
      <c r="H49" s="5">
        <f t="shared" si="14"/>
        <v>34670.85609999999</v>
      </c>
      <c r="I49" s="5">
        <f>'Oct-2023'!N49</f>
        <v>269.71499999999992</v>
      </c>
      <c r="J49" s="5">
        <f t="shared" si="14"/>
        <v>0.12</v>
      </c>
      <c r="K49" s="5">
        <f t="shared" si="14"/>
        <v>0.63</v>
      </c>
      <c r="L49" s="5">
        <f t="shared" si="14"/>
        <v>0</v>
      </c>
      <c r="M49" s="5">
        <f t="shared" si="14"/>
        <v>0</v>
      </c>
      <c r="N49" s="5">
        <f t="shared" si="14"/>
        <v>269.83499999999992</v>
      </c>
      <c r="O49" s="5">
        <f>'Oct-2023'!T49</f>
        <v>254.72</v>
      </c>
      <c r="P49" s="5">
        <f t="shared" si="14"/>
        <v>5.5</v>
      </c>
      <c r="Q49" s="5">
        <f t="shared" si="14"/>
        <v>5.64</v>
      </c>
      <c r="R49" s="5">
        <f t="shared" si="14"/>
        <v>0</v>
      </c>
      <c r="S49" s="5">
        <f t="shared" si="14"/>
        <v>0</v>
      </c>
      <c r="T49" s="5">
        <f t="shared" si="14"/>
        <v>260.21999999999997</v>
      </c>
      <c r="U49" s="5">
        <f t="shared" si="14"/>
        <v>35200.911099999998</v>
      </c>
    </row>
    <row r="50" spans="1:24" s="4" customFormat="1" ht="38.25" customHeight="1">
      <c r="A50" s="34"/>
      <c r="B50" s="37" t="s">
        <v>56</v>
      </c>
      <c r="C50" s="5">
        <f>'Oct-2023'!H50</f>
        <v>77655.047099999982</v>
      </c>
      <c r="D50" s="5">
        <f t="shared" ref="D50:U50" si="15">D49+D44</f>
        <v>647.20400000000006</v>
      </c>
      <c r="E50" s="5">
        <f t="shared" si="15"/>
        <v>5846.8990000000013</v>
      </c>
      <c r="F50" s="5">
        <f t="shared" si="15"/>
        <v>0</v>
      </c>
      <c r="G50" s="5">
        <f t="shared" si="15"/>
        <v>0</v>
      </c>
      <c r="H50" s="5">
        <f t="shared" si="15"/>
        <v>78302.251099999979</v>
      </c>
      <c r="I50" s="5">
        <f>'Oct-2023'!N50</f>
        <v>496.2349999999999</v>
      </c>
      <c r="J50" s="5">
        <f t="shared" si="15"/>
        <v>0.12</v>
      </c>
      <c r="K50" s="5">
        <f t="shared" si="15"/>
        <v>0.63</v>
      </c>
      <c r="L50" s="5">
        <f t="shared" si="15"/>
        <v>0</v>
      </c>
      <c r="M50" s="5">
        <f t="shared" si="15"/>
        <v>0</v>
      </c>
      <c r="N50" s="5">
        <f t="shared" si="15"/>
        <v>496.3549999999999</v>
      </c>
      <c r="O50" s="5">
        <f>'Oct-2023'!T50</f>
        <v>738.09</v>
      </c>
      <c r="P50" s="5">
        <f t="shared" si="15"/>
        <v>5.5</v>
      </c>
      <c r="Q50" s="5">
        <f t="shared" si="15"/>
        <v>5.64</v>
      </c>
      <c r="R50" s="5">
        <f t="shared" si="15"/>
        <v>0</v>
      </c>
      <c r="S50" s="5">
        <f t="shared" si="15"/>
        <v>0</v>
      </c>
      <c r="T50" s="5">
        <f t="shared" si="15"/>
        <v>743.59</v>
      </c>
      <c r="U50" s="5">
        <f t="shared" si="15"/>
        <v>79542.196099999986</v>
      </c>
    </row>
    <row r="51" spans="1:24" s="4" customFormat="1" ht="38.25" customHeight="1">
      <c r="A51" s="34"/>
      <c r="B51" s="37" t="s">
        <v>57</v>
      </c>
      <c r="C51" s="5">
        <f>'Oct-2023'!H51</f>
        <v>129970.29389999998</v>
      </c>
      <c r="D51" s="5">
        <f t="shared" ref="D51:U51" si="16">D50+D39+D25</f>
        <v>1371.481</v>
      </c>
      <c r="E51" s="5">
        <f t="shared" si="16"/>
        <v>11957.286000000002</v>
      </c>
      <c r="F51" s="5">
        <f t="shared" si="16"/>
        <v>0</v>
      </c>
      <c r="G51" s="5">
        <f t="shared" si="16"/>
        <v>51.63</v>
      </c>
      <c r="H51" s="26">
        <f t="shared" si="16"/>
        <v>131341.77489999999</v>
      </c>
      <c r="I51" s="5">
        <f>'Oct-2023'!N51</f>
        <v>11275.582</v>
      </c>
      <c r="J51" s="5">
        <f t="shared" si="16"/>
        <v>31.084999999999997</v>
      </c>
      <c r="K51" s="5">
        <f t="shared" si="16"/>
        <v>398.27100000000002</v>
      </c>
      <c r="L51" s="5">
        <f t="shared" si="16"/>
        <v>1.03</v>
      </c>
      <c r="M51" s="5">
        <f t="shared" si="16"/>
        <v>1.52</v>
      </c>
      <c r="N51" s="26">
        <f t="shared" si="16"/>
        <v>11305.637000000001</v>
      </c>
      <c r="O51" s="5">
        <f>'Oct-2023'!T51</f>
        <v>1597.6999999999998</v>
      </c>
      <c r="P51" s="5">
        <f t="shared" si="16"/>
        <v>5.5</v>
      </c>
      <c r="Q51" s="5">
        <f t="shared" si="16"/>
        <v>8</v>
      </c>
      <c r="R51" s="5">
        <f t="shared" si="16"/>
        <v>0</v>
      </c>
      <c r="S51" s="5">
        <f t="shared" si="16"/>
        <v>82.039999999999992</v>
      </c>
      <c r="T51" s="26">
        <f t="shared" si="16"/>
        <v>1603.2000000000003</v>
      </c>
      <c r="U51" s="5">
        <f t="shared" si="16"/>
        <v>144250.61189999999</v>
      </c>
    </row>
    <row r="52" spans="1:24" s="4" customFormat="1" ht="38.25" customHeight="1">
      <c r="A52" s="39"/>
      <c r="B52" s="40"/>
      <c r="C52" s="42"/>
      <c r="D52" s="41"/>
      <c r="E52" s="41"/>
      <c r="F52" s="41"/>
      <c r="G52" s="41"/>
      <c r="H52" s="41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4" s="4" customFormat="1" ht="109.5" customHeight="1">
      <c r="A53" s="91" t="s">
        <v>72</v>
      </c>
      <c r="B53" s="91"/>
      <c r="C53" s="91"/>
      <c r="D53" s="91"/>
      <c r="E53" s="91"/>
      <c r="F53" s="91"/>
      <c r="G53" s="91"/>
      <c r="H53" s="91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9" customFormat="1" ht="24.75" customHeight="1">
      <c r="B54" s="11"/>
      <c r="C54" s="88" t="s">
        <v>58</v>
      </c>
      <c r="D54" s="88"/>
      <c r="E54" s="88"/>
      <c r="F54" s="88"/>
      <c r="G54" s="88"/>
      <c r="H54" s="12"/>
      <c r="I54" s="33"/>
      <c r="J54" s="33">
        <f>D51+J51+P51-F51-L51-R51</f>
        <v>1407.0360000000001</v>
      </c>
      <c r="K54" s="33"/>
      <c r="L54" s="33"/>
      <c r="M54" s="33"/>
      <c r="N54" s="33"/>
      <c r="R54" s="33"/>
      <c r="U54" s="33"/>
    </row>
    <row r="55" spans="1:24" s="9" customFormat="1" ht="30" customHeight="1">
      <c r="B55" s="11"/>
      <c r="C55" s="88" t="s">
        <v>59</v>
      </c>
      <c r="D55" s="88"/>
      <c r="E55" s="88"/>
      <c r="F55" s="88"/>
      <c r="G55" s="88"/>
      <c r="H55" s="13"/>
      <c r="I55" s="33"/>
      <c r="J55" s="33">
        <f>E51+K51+Q51-G51-M51-S51</f>
        <v>12228.367000000002</v>
      </c>
      <c r="K55" s="33"/>
      <c r="L55" s="33"/>
      <c r="M55" s="33"/>
      <c r="N55" s="33"/>
      <c r="R55" s="33"/>
      <c r="T55" s="33"/>
    </row>
    <row r="56" spans="1:24" ht="54" customHeight="1">
      <c r="C56" s="88" t="s">
        <v>60</v>
      </c>
      <c r="D56" s="88"/>
      <c r="E56" s="88"/>
      <c r="F56" s="88"/>
      <c r="G56" s="88"/>
      <c r="H56" s="13"/>
      <c r="I56" s="15"/>
      <c r="J56" s="11">
        <f>H51+N51+T51</f>
        <v>144250.61189999999</v>
      </c>
      <c r="K56" s="13"/>
      <c r="L56" s="13"/>
      <c r="M56" s="16"/>
      <c r="N56" s="13"/>
      <c r="P56" s="9"/>
      <c r="Q56" s="17"/>
      <c r="U56" s="17"/>
    </row>
    <row r="57" spans="1:24">
      <c r="P57" s="1"/>
      <c r="Q57" s="1"/>
      <c r="R57" s="1"/>
      <c r="S57" s="2"/>
      <c r="T57" s="1"/>
      <c r="U57" s="1"/>
    </row>
    <row r="59" spans="1:24">
      <c r="J59" s="1">
        <v>10000</v>
      </c>
    </row>
    <row r="60" spans="1:24">
      <c r="J60" s="1">
        <f>J59/4</f>
        <v>2500</v>
      </c>
    </row>
  </sheetData>
  <mergeCells count="26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C54:G54"/>
    <mergeCell ref="C55:G55"/>
    <mergeCell ref="C56:G56"/>
    <mergeCell ref="W29:W32"/>
    <mergeCell ref="H5:H6"/>
    <mergeCell ref="I5:I6"/>
    <mergeCell ref="J5:K5"/>
    <mergeCell ref="L5:M5"/>
    <mergeCell ref="N5:N6"/>
    <mergeCell ref="O5:O6"/>
    <mergeCell ref="P5:Q5"/>
    <mergeCell ref="R5:S5"/>
    <mergeCell ref="T5:T6"/>
    <mergeCell ref="U5:U6"/>
    <mergeCell ref="W20:W23"/>
    <mergeCell ref="A53:H53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March 2023</vt:lpstr>
      <vt:lpstr>April 2023</vt:lpstr>
      <vt:lpstr>May 23</vt:lpstr>
      <vt:lpstr>June 23</vt:lpstr>
      <vt:lpstr>July 2023</vt:lpstr>
      <vt:lpstr>Aug 2023</vt:lpstr>
      <vt:lpstr>Sep 2023</vt:lpstr>
      <vt:lpstr>Oct-2023</vt:lpstr>
      <vt:lpstr>Nov 2023</vt:lpstr>
      <vt:lpstr>Dec 2023</vt:lpstr>
      <vt:lpstr>Jan 2024</vt:lpstr>
      <vt:lpstr>feb 2024</vt:lpstr>
      <vt:lpstr>March 2024</vt:lpstr>
      <vt:lpstr>'April 2023'!Print_Area</vt:lpstr>
      <vt:lpstr>'Aug 2023'!Print_Area</vt:lpstr>
      <vt:lpstr>'Dec 2023'!Print_Area</vt:lpstr>
      <vt:lpstr>'feb 2024'!Print_Area</vt:lpstr>
      <vt:lpstr>'Jan 2024'!Print_Area</vt:lpstr>
      <vt:lpstr>'July 2023'!Print_Area</vt:lpstr>
      <vt:lpstr>'June 23'!Print_Area</vt:lpstr>
      <vt:lpstr>'March 2023'!Print_Area</vt:lpstr>
      <vt:lpstr>'March 2024'!Print_Area</vt:lpstr>
      <vt:lpstr>'May 23'!Print_Area</vt:lpstr>
      <vt:lpstr>'Nov 2023'!Print_Area</vt:lpstr>
      <vt:lpstr>'Oct-2023'!Print_Area</vt:lpstr>
      <vt:lpstr>'Sep 2023'!Print_Area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2024-04-22T06:05:37Z</dcterms:modified>
</cp:coreProperties>
</file>