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firstSheet="5" activeTab="12"/>
  </bookViews>
  <sheets>
    <sheet name="march 2023" sheetId="5" r:id="rId1"/>
    <sheet name="April 2023" sheetId="4" r:id="rId2"/>
    <sheet name="May 2023" sheetId="7" r:id="rId3"/>
    <sheet name="June 2023" sheetId="8" r:id="rId4"/>
    <sheet name="JULY 2023" sheetId="9" r:id="rId5"/>
    <sheet name="August 2023" sheetId="10" r:id="rId6"/>
    <sheet name="Sept 2023" sheetId="11" r:id="rId7"/>
    <sheet name="Oct-2023" sheetId="12" r:id="rId8"/>
    <sheet name="Nov 2023" sheetId="13" r:id="rId9"/>
    <sheet name="dec 2023" sheetId="15" r:id="rId10"/>
    <sheet name="Jan 2024" sheetId="17" r:id="rId11"/>
    <sheet name="Feb 2024" sheetId="18" r:id="rId12"/>
    <sheet name="March 2024" sheetId="19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">'April 2023'!$A$1:$U$59</definedName>
    <definedName name="_xlnm.Print_Area" localSheetId="5">'August 2023'!$A$1:$U$59</definedName>
    <definedName name="_xlnm.Print_Area" localSheetId="9">'dec 2023'!$A$1:$U$59</definedName>
    <definedName name="_xlnm.Print_Area" localSheetId="11">'Feb 2024'!$A$1:$U$62</definedName>
    <definedName name="_xlnm.Print_Area" localSheetId="10">'Jan 2024'!$A$1:$U$63</definedName>
    <definedName name="_xlnm.Print_Area" localSheetId="4">'JULY 2023'!$A$1:$U$59</definedName>
    <definedName name="_xlnm.Print_Area" localSheetId="3">'June 2023'!$A$1:$U$59</definedName>
    <definedName name="_xlnm.Print_Area" localSheetId="0">'march 2023'!$A$1:$U$59</definedName>
    <definedName name="_xlnm.Print_Area" localSheetId="12">'March 2024'!$A$1:$U$62</definedName>
    <definedName name="_xlnm.Print_Area" localSheetId="2">'May 2023'!$A$1:$U$59</definedName>
    <definedName name="_xlnm.Print_Area" localSheetId="8">'Nov 2023'!$A$1:$U$59</definedName>
    <definedName name="_xlnm.Print_Area" localSheetId="7">'Oct-2023'!$A$1:$U$59</definedName>
    <definedName name="_xlnm.Print_Area" localSheetId="6">'Sept 2023'!$A$1:$U$59</definedName>
  </definedNames>
  <calcPr calcId="144525"/>
</workbook>
</file>

<file path=xl/calcChain.xml><?xml version="1.0" encoding="utf-8"?>
<calcChain xmlns="http://schemas.openxmlformats.org/spreadsheetml/2006/main">
  <c r="D49" i="19" l="1"/>
  <c r="E49" i="19"/>
  <c r="E50" i="19" s="1"/>
  <c r="F49" i="19"/>
  <c r="F50" i="19" s="1"/>
  <c r="G49" i="19"/>
  <c r="I49" i="19"/>
  <c r="I50" i="19" s="1"/>
  <c r="I51" i="19" s="1"/>
  <c r="J49" i="19"/>
  <c r="J50" i="19" s="1"/>
  <c r="K49" i="19"/>
  <c r="L49" i="19"/>
  <c r="M49" i="19"/>
  <c r="M50" i="19" s="1"/>
  <c r="M51" i="19" s="1"/>
  <c r="N49" i="19"/>
  <c r="N50" i="19" s="1"/>
  <c r="P49" i="19"/>
  <c r="Q49" i="19"/>
  <c r="Q50" i="19" s="1"/>
  <c r="R49" i="19"/>
  <c r="R50" i="19" s="1"/>
  <c r="S49" i="19"/>
  <c r="D50" i="19"/>
  <c r="G50" i="19"/>
  <c r="K50" i="19"/>
  <c r="L50" i="19"/>
  <c r="L51" i="19" s="1"/>
  <c r="P50" i="19"/>
  <c r="S50" i="19"/>
  <c r="D44" i="19"/>
  <c r="E44" i="19"/>
  <c r="F44" i="19"/>
  <c r="G44" i="19"/>
  <c r="I44" i="19"/>
  <c r="J44" i="19"/>
  <c r="K44" i="19"/>
  <c r="L44" i="19"/>
  <c r="M44" i="19"/>
  <c r="N44" i="19"/>
  <c r="P44" i="19"/>
  <c r="Q44" i="19"/>
  <c r="R44" i="19"/>
  <c r="S44" i="19"/>
  <c r="D38" i="19"/>
  <c r="F38" i="19"/>
  <c r="F39" i="19" s="1"/>
  <c r="I38" i="19"/>
  <c r="I39" i="19" s="1"/>
  <c r="J38" i="19"/>
  <c r="K38" i="19"/>
  <c r="L38" i="19"/>
  <c r="M38" i="19"/>
  <c r="M39" i="19" s="1"/>
  <c r="N38" i="19"/>
  <c r="P38" i="19"/>
  <c r="R38" i="19"/>
  <c r="S38" i="19"/>
  <c r="L39" i="19"/>
  <c r="D33" i="19"/>
  <c r="E33" i="19"/>
  <c r="F33" i="19"/>
  <c r="G33" i="19"/>
  <c r="I33" i="19"/>
  <c r="J33" i="19"/>
  <c r="K33" i="19"/>
  <c r="L33" i="19"/>
  <c r="M33" i="19"/>
  <c r="N33" i="19"/>
  <c r="P33" i="19"/>
  <c r="Q33" i="19"/>
  <c r="R33" i="19"/>
  <c r="D28" i="19"/>
  <c r="F28" i="19"/>
  <c r="G28" i="19"/>
  <c r="I28" i="19"/>
  <c r="J28" i="19"/>
  <c r="L28" i="19"/>
  <c r="M28" i="19"/>
  <c r="P28" i="19"/>
  <c r="R28" i="19"/>
  <c r="S28" i="19"/>
  <c r="D24" i="19"/>
  <c r="F24" i="19"/>
  <c r="F25" i="19" s="1"/>
  <c r="G24" i="19"/>
  <c r="I24" i="19"/>
  <c r="I25" i="19" s="1"/>
  <c r="J24" i="19"/>
  <c r="J25" i="19" s="1"/>
  <c r="L24" i="19"/>
  <c r="M24" i="19"/>
  <c r="M25" i="19" s="1"/>
  <c r="P24" i="19"/>
  <c r="P25" i="19" s="1"/>
  <c r="R24" i="19"/>
  <c r="R25" i="19" s="1"/>
  <c r="D25" i="19"/>
  <c r="G25" i="19"/>
  <c r="L25" i="19"/>
  <c r="D19" i="19"/>
  <c r="E19" i="19"/>
  <c r="F19" i="19"/>
  <c r="G19" i="19"/>
  <c r="I19" i="19"/>
  <c r="J19" i="19"/>
  <c r="K19" i="19"/>
  <c r="L19" i="19"/>
  <c r="M19" i="19"/>
  <c r="N19" i="19"/>
  <c r="P19" i="19"/>
  <c r="Q19" i="19"/>
  <c r="R19" i="19"/>
  <c r="S19" i="19"/>
  <c r="D15" i="19"/>
  <c r="E15" i="19"/>
  <c r="F15" i="19"/>
  <c r="G15" i="19"/>
  <c r="I15" i="19"/>
  <c r="J15" i="19"/>
  <c r="K15" i="19"/>
  <c r="L15" i="19"/>
  <c r="M15" i="19"/>
  <c r="N15" i="19"/>
  <c r="P15" i="19"/>
  <c r="Q15" i="19"/>
  <c r="R15" i="19"/>
  <c r="S15" i="19"/>
  <c r="D11" i="19"/>
  <c r="E11" i="19"/>
  <c r="F11" i="19"/>
  <c r="G11" i="19"/>
  <c r="I11" i="19"/>
  <c r="J11" i="19"/>
  <c r="K11" i="19"/>
  <c r="L11" i="19"/>
  <c r="M11" i="19"/>
  <c r="N11" i="19"/>
  <c r="P11" i="19"/>
  <c r="Q11" i="19"/>
  <c r="R11" i="19"/>
  <c r="R39" i="19" l="1"/>
  <c r="R51" i="19" s="1"/>
  <c r="P39" i="19"/>
  <c r="F51" i="19"/>
  <c r="D39" i="19"/>
  <c r="D51" i="19" s="1"/>
  <c r="J39" i="19"/>
  <c r="J51" i="19" s="1"/>
  <c r="P51" i="19"/>
  <c r="S8" i="19"/>
  <c r="S9" i="19"/>
  <c r="S11" i="19" s="1"/>
  <c r="S10" i="19"/>
  <c r="S12" i="19"/>
  <c r="S13" i="19"/>
  <c r="S14" i="19"/>
  <c r="S16" i="19"/>
  <c r="S17" i="19"/>
  <c r="S18" i="19"/>
  <c r="S20" i="19"/>
  <c r="S21" i="19"/>
  <c r="S22" i="19"/>
  <c r="S24" i="19" s="1"/>
  <c r="S23" i="19"/>
  <c r="S26" i="19"/>
  <c r="S27" i="19"/>
  <c r="S29" i="19"/>
  <c r="S30" i="19"/>
  <c r="S31" i="19"/>
  <c r="S32" i="19"/>
  <c r="S33" i="19" s="1"/>
  <c r="S39" i="19" s="1"/>
  <c r="S34" i="19"/>
  <c r="S35" i="19"/>
  <c r="S36" i="19"/>
  <c r="S37" i="19"/>
  <c r="S40" i="19"/>
  <c r="S41" i="19"/>
  <c r="S42" i="19"/>
  <c r="S43" i="19"/>
  <c r="S45" i="19"/>
  <c r="S46" i="19"/>
  <c r="S47" i="19"/>
  <c r="S48" i="19"/>
  <c r="S7" i="19"/>
  <c r="Q8" i="19"/>
  <c r="Q9" i="19"/>
  <c r="Q10" i="19"/>
  <c r="Q12" i="19"/>
  <c r="Q13" i="19"/>
  <c r="Q14" i="19"/>
  <c r="Q16" i="19"/>
  <c r="Q17" i="19"/>
  <c r="Q18" i="19"/>
  <c r="Q20" i="19"/>
  <c r="Q21" i="19"/>
  <c r="Q22" i="19"/>
  <c r="Q23" i="19"/>
  <c r="Q26" i="19"/>
  <c r="Q27" i="19"/>
  <c r="Q28" i="19" s="1"/>
  <c r="Q29" i="19"/>
  <c r="Q30" i="19"/>
  <c r="Q31" i="19"/>
  <c r="Q32" i="19"/>
  <c r="Q34" i="19"/>
  <c r="Q35" i="19"/>
  <c r="Q36" i="19"/>
  <c r="Q37" i="19"/>
  <c r="Q40" i="19"/>
  <c r="Q41" i="19"/>
  <c r="Q42" i="19"/>
  <c r="Q43" i="19"/>
  <c r="Q45" i="19"/>
  <c r="Q46" i="19"/>
  <c r="Q47" i="19"/>
  <c r="Q48" i="19"/>
  <c r="Q7" i="19"/>
  <c r="M8" i="19"/>
  <c r="M9" i="19"/>
  <c r="M10" i="19"/>
  <c r="M12" i="19"/>
  <c r="M13" i="19"/>
  <c r="M14" i="19"/>
  <c r="M16" i="19"/>
  <c r="M17" i="19"/>
  <c r="M18" i="19"/>
  <c r="M20" i="19"/>
  <c r="M21" i="19"/>
  <c r="M22" i="19"/>
  <c r="M23" i="19"/>
  <c r="M26" i="19"/>
  <c r="M27" i="19"/>
  <c r="M29" i="19"/>
  <c r="M30" i="19"/>
  <c r="M31" i="19"/>
  <c r="M32" i="19"/>
  <c r="M34" i="19"/>
  <c r="M35" i="19"/>
  <c r="M36" i="19"/>
  <c r="M37" i="19"/>
  <c r="M40" i="19"/>
  <c r="M41" i="19"/>
  <c r="M42" i="19"/>
  <c r="M43" i="19"/>
  <c r="M45" i="19"/>
  <c r="M46" i="19"/>
  <c r="M47" i="19"/>
  <c r="M48" i="19"/>
  <c r="M7" i="19"/>
  <c r="K8" i="19"/>
  <c r="K9" i="19"/>
  <c r="K10" i="19"/>
  <c r="K12" i="19"/>
  <c r="K13" i="19"/>
  <c r="K14" i="19"/>
  <c r="K16" i="19"/>
  <c r="K17" i="19"/>
  <c r="K18" i="19"/>
  <c r="K20" i="19"/>
  <c r="K24" i="19" s="1"/>
  <c r="K25" i="19" s="1"/>
  <c r="K21" i="19"/>
  <c r="K22" i="19"/>
  <c r="K23" i="19"/>
  <c r="K26" i="19"/>
  <c r="K27" i="19"/>
  <c r="K28" i="19" s="1"/>
  <c r="K39" i="19" s="1"/>
  <c r="K29" i="19"/>
  <c r="K30" i="19"/>
  <c r="K31" i="19"/>
  <c r="K32" i="19"/>
  <c r="K34" i="19"/>
  <c r="K35" i="19"/>
  <c r="K36" i="19"/>
  <c r="K37" i="19"/>
  <c r="K40" i="19"/>
  <c r="K41" i="19"/>
  <c r="K42" i="19"/>
  <c r="K43" i="19"/>
  <c r="K45" i="19"/>
  <c r="K46" i="19"/>
  <c r="K47" i="19"/>
  <c r="K48" i="19"/>
  <c r="K52" i="19"/>
  <c r="K53" i="19"/>
  <c r="K7" i="19"/>
  <c r="G8" i="19"/>
  <c r="G9" i="19"/>
  <c r="G10" i="19"/>
  <c r="G12" i="19"/>
  <c r="G13" i="19"/>
  <c r="G14" i="19"/>
  <c r="G16" i="19"/>
  <c r="G17" i="19"/>
  <c r="G18" i="19"/>
  <c r="G20" i="19"/>
  <c r="G21" i="19"/>
  <c r="G22" i="19"/>
  <c r="G23" i="19"/>
  <c r="G26" i="19"/>
  <c r="G27" i="19"/>
  <c r="G29" i="19"/>
  <c r="G30" i="19"/>
  <c r="G31" i="19"/>
  <c r="G32" i="19"/>
  <c r="G34" i="19"/>
  <c r="G35" i="19"/>
  <c r="G36" i="19"/>
  <c r="G37" i="19"/>
  <c r="G40" i="19"/>
  <c r="G41" i="19"/>
  <c r="G42" i="19"/>
  <c r="G43" i="19"/>
  <c r="G45" i="19"/>
  <c r="G46" i="19"/>
  <c r="G47" i="19"/>
  <c r="G48" i="19"/>
  <c r="G7" i="19"/>
  <c r="E8" i="19"/>
  <c r="E9" i="19"/>
  <c r="E10" i="19"/>
  <c r="E12" i="19"/>
  <c r="E13" i="19"/>
  <c r="E14" i="19"/>
  <c r="E16" i="19"/>
  <c r="E17" i="19"/>
  <c r="E18" i="19"/>
  <c r="E20" i="19"/>
  <c r="E21" i="19"/>
  <c r="E22" i="19"/>
  <c r="E23" i="19"/>
  <c r="E24" i="19" s="1"/>
  <c r="E25" i="19" s="1"/>
  <c r="E26" i="19"/>
  <c r="E27" i="19"/>
  <c r="E29" i="19"/>
  <c r="E30" i="19"/>
  <c r="E31" i="19"/>
  <c r="E32" i="19"/>
  <c r="E34" i="19"/>
  <c r="E35" i="19"/>
  <c r="E36" i="19"/>
  <c r="E37" i="19"/>
  <c r="E40" i="19"/>
  <c r="E41" i="19"/>
  <c r="E42" i="19"/>
  <c r="E43" i="19"/>
  <c r="E45" i="19"/>
  <c r="E46" i="19"/>
  <c r="E47" i="19"/>
  <c r="E48" i="19"/>
  <c r="E7" i="19"/>
  <c r="I8" i="19"/>
  <c r="I9" i="19"/>
  <c r="I10" i="19"/>
  <c r="I12" i="19"/>
  <c r="I13" i="19"/>
  <c r="I14" i="19"/>
  <c r="I16" i="19"/>
  <c r="I17" i="19"/>
  <c r="I18" i="19"/>
  <c r="N18" i="19" s="1"/>
  <c r="I20" i="19"/>
  <c r="I21" i="19"/>
  <c r="I22" i="19"/>
  <c r="I23" i="19"/>
  <c r="I26" i="19"/>
  <c r="I27" i="19"/>
  <c r="I29" i="19"/>
  <c r="I30" i="19"/>
  <c r="I31" i="19"/>
  <c r="I32" i="19"/>
  <c r="I34" i="19"/>
  <c r="N34" i="19" s="1"/>
  <c r="I35" i="19"/>
  <c r="I36" i="19"/>
  <c r="I37" i="19"/>
  <c r="I40" i="19"/>
  <c r="I41" i="19"/>
  <c r="I42" i="19"/>
  <c r="I43" i="19"/>
  <c r="I45" i="19"/>
  <c r="N45" i="19" s="1"/>
  <c r="I46" i="19"/>
  <c r="N46" i="19" s="1"/>
  <c r="I47" i="19"/>
  <c r="I48" i="19"/>
  <c r="N48" i="19" s="1"/>
  <c r="I7" i="19"/>
  <c r="G61" i="19"/>
  <c r="H59" i="19"/>
  <c r="M58" i="19"/>
  <c r="I58" i="19"/>
  <c r="S53" i="19"/>
  <c r="Q53" i="19"/>
  <c r="O53" i="19"/>
  <c r="I53" i="19"/>
  <c r="G53" i="19"/>
  <c r="E53" i="19"/>
  <c r="S52" i="19"/>
  <c r="Q52" i="19"/>
  <c r="O52" i="19"/>
  <c r="I52" i="19"/>
  <c r="G52" i="19"/>
  <c r="E52" i="19"/>
  <c r="N47" i="19"/>
  <c r="N43" i="19"/>
  <c r="N42" i="19"/>
  <c r="N41" i="19"/>
  <c r="N40" i="19"/>
  <c r="N37" i="19"/>
  <c r="N36" i="19"/>
  <c r="N35" i="19"/>
  <c r="N32" i="19"/>
  <c r="N31" i="19"/>
  <c r="N30" i="19"/>
  <c r="N27" i="19"/>
  <c r="N28" i="19" s="1"/>
  <c r="N39" i="19" s="1"/>
  <c r="N23" i="19"/>
  <c r="N22" i="19"/>
  <c r="N21" i="19"/>
  <c r="N17" i="19"/>
  <c r="N14" i="19"/>
  <c r="N13" i="19"/>
  <c r="N12" i="19"/>
  <c r="N10" i="19"/>
  <c r="N9" i="19"/>
  <c r="N8" i="19"/>
  <c r="N7" i="19"/>
  <c r="S25" i="19" l="1"/>
  <c r="S51" i="19" s="1"/>
  <c r="E38" i="19"/>
  <c r="Q38" i="19"/>
  <c r="G38" i="19"/>
  <c r="G39" i="19" s="1"/>
  <c r="G51" i="19" s="1"/>
  <c r="Q39" i="19"/>
  <c r="E28" i="19"/>
  <c r="E39" i="19" s="1"/>
  <c r="E51" i="19" s="1"/>
  <c r="K51" i="19"/>
  <c r="Q24" i="19"/>
  <c r="Q25" i="19" s="1"/>
  <c r="N16" i="19"/>
  <c r="N20" i="19"/>
  <c r="N24" i="19" s="1"/>
  <c r="N25" i="19" s="1"/>
  <c r="N51" i="19" s="1"/>
  <c r="N26" i="19"/>
  <c r="N29" i="19"/>
  <c r="Q51" i="19" l="1"/>
  <c r="G61" i="18"/>
  <c r="H59" i="18"/>
  <c r="M58" i="18"/>
  <c r="I58" i="18"/>
  <c r="S53" i="18"/>
  <c r="Q53" i="18"/>
  <c r="O53" i="18"/>
  <c r="K53" i="18"/>
  <c r="I53" i="18"/>
  <c r="G53" i="18"/>
  <c r="E53" i="18"/>
  <c r="S52" i="18"/>
  <c r="Q52" i="18"/>
  <c r="O52" i="18"/>
  <c r="K52" i="18"/>
  <c r="I52" i="18"/>
  <c r="G52" i="18"/>
  <c r="E52" i="18"/>
  <c r="R49" i="18"/>
  <c r="R50" i="18" s="1"/>
  <c r="P49" i="18"/>
  <c r="P50" i="18" s="1"/>
  <c r="L49" i="18"/>
  <c r="L50" i="18" s="1"/>
  <c r="J49" i="18"/>
  <c r="J50" i="18" s="1"/>
  <c r="F49" i="18"/>
  <c r="F50" i="18" s="1"/>
  <c r="D49" i="18"/>
  <c r="D50" i="18" s="1"/>
  <c r="S48" i="18"/>
  <c r="Q48" i="18"/>
  <c r="M48" i="18"/>
  <c r="K48" i="18"/>
  <c r="I48" i="18"/>
  <c r="N48" i="18" s="1"/>
  <c r="G48" i="18"/>
  <c r="E48" i="18"/>
  <c r="S47" i="18"/>
  <c r="Q47" i="18"/>
  <c r="N47" i="18"/>
  <c r="M47" i="18"/>
  <c r="K47" i="18"/>
  <c r="I47" i="18"/>
  <c r="G47" i="18"/>
  <c r="E47" i="18"/>
  <c r="S46" i="18"/>
  <c r="Q46" i="18"/>
  <c r="M46" i="18"/>
  <c r="K46" i="18"/>
  <c r="I46" i="18"/>
  <c r="N46" i="18" s="1"/>
  <c r="G46" i="18"/>
  <c r="G49" i="18" s="1"/>
  <c r="E46" i="18"/>
  <c r="S45" i="18"/>
  <c r="S49" i="18" s="1"/>
  <c r="Q45" i="18"/>
  <c r="Q49" i="18" s="1"/>
  <c r="Q50" i="18" s="1"/>
  <c r="N45" i="18"/>
  <c r="N49" i="18" s="1"/>
  <c r="M45" i="18"/>
  <c r="K45" i="18"/>
  <c r="K49" i="18" s="1"/>
  <c r="I45" i="18"/>
  <c r="G45" i="18"/>
  <c r="E45" i="18"/>
  <c r="E49" i="18" s="1"/>
  <c r="E50" i="18" s="1"/>
  <c r="S44" i="18"/>
  <c r="R44" i="18"/>
  <c r="P44" i="18"/>
  <c r="L44" i="18"/>
  <c r="J44" i="18"/>
  <c r="F44" i="18"/>
  <c r="D44" i="18"/>
  <c r="S43" i="18"/>
  <c r="Q43" i="18"/>
  <c r="N43" i="18"/>
  <c r="M43" i="18"/>
  <c r="K43" i="18"/>
  <c r="K44" i="18" s="1"/>
  <c r="I43" i="18"/>
  <c r="G43" i="18"/>
  <c r="E43" i="18"/>
  <c r="S42" i="18"/>
  <c r="Q42" i="18"/>
  <c r="M42" i="18"/>
  <c r="K42" i="18"/>
  <c r="I42" i="18"/>
  <c r="N42" i="18" s="1"/>
  <c r="G42" i="18"/>
  <c r="G44" i="18" s="1"/>
  <c r="E42" i="18"/>
  <c r="S41" i="18"/>
  <c r="Q41" i="18"/>
  <c r="Q44" i="18" s="1"/>
  <c r="N41" i="18"/>
  <c r="M41" i="18"/>
  <c r="K41" i="18"/>
  <c r="I41" i="18"/>
  <c r="G41" i="18"/>
  <c r="E41" i="18"/>
  <c r="E44" i="18" s="1"/>
  <c r="S40" i="18"/>
  <c r="Q40" i="18"/>
  <c r="M40" i="18"/>
  <c r="M44" i="18" s="1"/>
  <c r="K40" i="18"/>
  <c r="I40" i="18"/>
  <c r="G40" i="18"/>
  <c r="E40" i="18"/>
  <c r="J39" i="18"/>
  <c r="J51" i="18" s="1"/>
  <c r="R38" i="18"/>
  <c r="S38" i="18" s="1"/>
  <c r="P38" i="18"/>
  <c r="Q38" i="18" s="1"/>
  <c r="M38" i="18"/>
  <c r="L38" i="18"/>
  <c r="K38" i="18"/>
  <c r="K39" i="18" s="1"/>
  <c r="J38" i="18"/>
  <c r="I38" i="18"/>
  <c r="F38" i="18"/>
  <c r="F39" i="18" s="1"/>
  <c r="D38" i="18"/>
  <c r="E38" i="18" s="1"/>
  <c r="S37" i="18"/>
  <c r="Q37" i="18"/>
  <c r="N37" i="18"/>
  <c r="M37" i="18"/>
  <c r="K37" i="18"/>
  <c r="I37" i="18"/>
  <c r="G37" i="18"/>
  <c r="E37" i="18"/>
  <c r="S36" i="18"/>
  <c r="Q36" i="18"/>
  <c r="M36" i="18"/>
  <c r="K36" i="18"/>
  <c r="I36" i="18"/>
  <c r="N36" i="18" s="1"/>
  <c r="G36" i="18"/>
  <c r="E36" i="18"/>
  <c r="S35" i="18"/>
  <c r="Q35" i="18"/>
  <c r="N35" i="18"/>
  <c r="M35" i="18"/>
  <c r="K35" i="18"/>
  <c r="I35" i="18"/>
  <c r="G35" i="18"/>
  <c r="E35" i="18"/>
  <c r="S34" i="18"/>
  <c r="Q34" i="18"/>
  <c r="M34" i="18"/>
  <c r="K34" i="18"/>
  <c r="I34" i="18"/>
  <c r="N34" i="18" s="1"/>
  <c r="G34" i="18"/>
  <c r="E34" i="18"/>
  <c r="R33" i="18"/>
  <c r="P33" i="18"/>
  <c r="L33" i="18"/>
  <c r="L39" i="18" s="1"/>
  <c r="J33" i="18"/>
  <c r="F33" i="18"/>
  <c r="D33" i="18"/>
  <c r="S32" i="18"/>
  <c r="Q32" i="18"/>
  <c r="M32" i="18"/>
  <c r="K32" i="18"/>
  <c r="I32" i="18"/>
  <c r="N32" i="18" s="1"/>
  <c r="G32" i="18"/>
  <c r="E32" i="18"/>
  <c r="S31" i="18"/>
  <c r="Q31" i="18"/>
  <c r="N31" i="18"/>
  <c r="M31" i="18"/>
  <c r="K31" i="18"/>
  <c r="I31" i="18"/>
  <c r="G31" i="18"/>
  <c r="E31" i="18"/>
  <c r="S30" i="18"/>
  <c r="Q30" i="18"/>
  <c r="M30" i="18"/>
  <c r="K30" i="18"/>
  <c r="I30" i="18"/>
  <c r="N30" i="18" s="1"/>
  <c r="G30" i="18"/>
  <c r="E30" i="18"/>
  <c r="S29" i="18"/>
  <c r="S33" i="18" s="1"/>
  <c r="Q29" i="18"/>
  <c r="Q33" i="18" s="1"/>
  <c r="P29" i="18"/>
  <c r="M29" i="18"/>
  <c r="M33" i="18" s="1"/>
  <c r="K29" i="18"/>
  <c r="K33" i="18" s="1"/>
  <c r="I29" i="18"/>
  <c r="G29" i="18"/>
  <c r="G33" i="18" s="1"/>
  <c r="E29" i="18"/>
  <c r="E33" i="18" s="1"/>
  <c r="R28" i="18"/>
  <c r="P28" i="18"/>
  <c r="L28" i="18"/>
  <c r="J28" i="18"/>
  <c r="F28" i="18"/>
  <c r="D28" i="18"/>
  <c r="S27" i="18"/>
  <c r="Q27" i="18"/>
  <c r="M27" i="18"/>
  <c r="K27" i="18"/>
  <c r="I27" i="18"/>
  <c r="N27" i="18" s="1"/>
  <c r="G27" i="18"/>
  <c r="E27" i="18"/>
  <c r="S26" i="18"/>
  <c r="S28" i="18" s="1"/>
  <c r="Q26" i="18"/>
  <c r="Q28" i="18" s="1"/>
  <c r="N26" i="18"/>
  <c r="N28" i="18" s="1"/>
  <c r="M26" i="18"/>
  <c r="M28" i="18" s="1"/>
  <c r="K26" i="18"/>
  <c r="K28" i="18" s="1"/>
  <c r="I26" i="18"/>
  <c r="I28" i="18" s="1"/>
  <c r="G26" i="18"/>
  <c r="G28" i="18" s="1"/>
  <c r="E26" i="18"/>
  <c r="E28" i="18" s="1"/>
  <c r="R24" i="18"/>
  <c r="R25" i="18" s="1"/>
  <c r="P24" i="18"/>
  <c r="P25" i="18" s="1"/>
  <c r="L24" i="18"/>
  <c r="L25" i="18" s="1"/>
  <c r="J24" i="18"/>
  <c r="J25" i="18" s="1"/>
  <c r="F24" i="18"/>
  <c r="F25" i="18" s="1"/>
  <c r="D24" i="18"/>
  <c r="D25" i="18" s="1"/>
  <c r="S23" i="18"/>
  <c r="Q23" i="18"/>
  <c r="M23" i="18"/>
  <c r="K23" i="18"/>
  <c r="I23" i="18"/>
  <c r="N23" i="18" s="1"/>
  <c r="G23" i="18"/>
  <c r="E23" i="18"/>
  <c r="S22" i="18"/>
  <c r="Q22" i="18"/>
  <c r="N22" i="18"/>
  <c r="M22" i="18"/>
  <c r="K22" i="18"/>
  <c r="I22" i="18"/>
  <c r="G22" i="18"/>
  <c r="E22" i="18"/>
  <c r="S21" i="18"/>
  <c r="Q21" i="18"/>
  <c r="M21" i="18"/>
  <c r="K21" i="18"/>
  <c r="I21" i="18"/>
  <c r="N21" i="18" s="1"/>
  <c r="G21" i="18"/>
  <c r="G24" i="18" s="1"/>
  <c r="E21" i="18"/>
  <c r="S20" i="18"/>
  <c r="Q20" i="18"/>
  <c r="Q24" i="18" s="1"/>
  <c r="N20" i="18"/>
  <c r="M20" i="18"/>
  <c r="M24" i="18" s="1"/>
  <c r="K20" i="18"/>
  <c r="K24" i="18" s="1"/>
  <c r="I20" i="18"/>
  <c r="I24" i="18" s="1"/>
  <c r="G20" i="18"/>
  <c r="E20" i="18"/>
  <c r="E24" i="18" s="1"/>
  <c r="R19" i="18"/>
  <c r="P19" i="18"/>
  <c r="L19" i="18"/>
  <c r="J19" i="18"/>
  <c r="F19" i="18"/>
  <c r="D19" i="18"/>
  <c r="S18" i="18"/>
  <c r="Q18" i="18"/>
  <c r="N18" i="18"/>
  <c r="M18" i="18"/>
  <c r="K18" i="18"/>
  <c r="K19" i="18" s="1"/>
  <c r="I18" i="18"/>
  <c r="G18" i="18"/>
  <c r="E18" i="18"/>
  <c r="S17" i="18"/>
  <c r="S19" i="18" s="1"/>
  <c r="Q17" i="18"/>
  <c r="M17" i="18"/>
  <c r="M19" i="18" s="1"/>
  <c r="K17" i="18"/>
  <c r="I17" i="18"/>
  <c r="I19" i="18" s="1"/>
  <c r="G17" i="18"/>
  <c r="G19" i="18" s="1"/>
  <c r="E17" i="18"/>
  <c r="S16" i="18"/>
  <c r="Q16" i="18"/>
  <c r="N16" i="18"/>
  <c r="M16" i="18"/>
  <c r="K16" i="18"/>
  <c r="I16" i="18"/>
  <c r="G16" i="18"/>
  <c r="E16" i="18"/>
  <c r="R15" i="18"/>
  <c r="P15" i="18"/>
  <c r="M15" i="18"/>
  <c r="L15" i="18"/>
  <c r="J15" i="18"/>
  <c r="F15" i="18"/>
  <c r="D15" i="18"/>
  <c r="S14" i="18"/>
  <c r="Q14" i="18"/>
  <c r="N14" i="18"/>
  <c r="M14" i="18"/>
  <c r="K14" i="18"/>
  <c r="I14" i="18"/>
  <c r="G14" i="18"/>
  <c r="E14" i="18"/>
  <c r="S13" i="18"/>
  <c r="S15" i="18" s="1"/>
  <c r="Q13" i="18"/>
  <c r="M13" i="18"/>
  <c r="K13" i="18"/>
  <c r="I13" i="18"/>
  <c r="N13" i="18" s="1"/>
  <c r="G13" i="18"/>
  <c r="G15" i="18" s="1"/>
  <c r="E13" i="18"/>
  <c r="S12" i="18"/>
  <c r="Q12" i="18"/>
  <c r="Q15" i="18" s="1"/>
  <c r="N12" i="18"/>
  <c r="N15" i="18" s="1"/>
  <c r="M12" i="18"/>
  <c r="K12" i="18"/>
  <c r="K15" i="18" s="1"/>
  <c r="I12" i="18"/>
  <c r="G12" i="18"/>
  <c r="E12" i="18"/>
  <c r="E15" i="18" s="1"/>
  <c r="R11" i="18"/>
  <c r="P11" i="18"/>
  <c r="L11" i="18"/>
  <c r="J11" i="18"/>
  <c r="F11" i="18"/>
  <c r="D11" i="18"/>
  <c r="S10" i="18"/>
  <c r="Q10" i="18"/>
  <c r="N10" i="18"/>
  <c r="M10" i="18"/>
  <c r="K10" i="18"/>
  <c r="I10" i="18"/>
  <c r="G10" i="18"/>
  <c r="E10" i="18"/>
  <c r="S9" i="18"/>
  <c r="S11" i="18" s="1"/>
  <c r="Q9" i="18"/>
  <c r="M9" i="18"/>
  <c r="K9" i="18"/>
  <c r="I9" i="18"/>
  <c r="N9" i="18" s="1"/>
  <c r="G9" i="18"/>
  <c r="E9" i="18"/>
  <c r="S8" i="18"/>
  <c r="Q8" i="18"/>
  <c r="Q11" i="18" s="1"/>
  <c r="N8" i="18"/>
  <c r="M8" i="18"/>
  <c r="K8" i="18"/>
  <c r="K11" i="18" s="1"/>
  <c r="I8" i="18"/>
  <c r="G8" i="18"/>
  <c r="E8" i="18"/>
  <c r="E11" i="18" s="1"/>
  <c r="S7" i="18"/>
  <c r="Q7" i="18"/>
  <c r="M7" i="18"/>
  <c r="M11" i="18" s="1"/>
  <c r="K7" i="18"/>
  <c r="I7" i="18"/>
  <c r="N7" i="18" s="1"/>
  <c r="N11" i="18" s="1"/>
  <c r="G7" i="18"/>
  <c r="G11" i="18" s="1"/>
  <c r="E7" i="18"/>
  <c r="H54" i="19" l="1"/>
  <c r="L57" i="19" s="1"/>
  <c r="H55" i="19"/>
  <c r="R39" i="18"/>
  <c r="G38" i="18"/>
  <c r="G39" i="18" s="1"/>
  <c r="F51" i="18"/>
  <c r="D39" i="18"/>
  <c r="E25" i="18"/>
  <c r="M25" i="18"/>
  <c r="I15" i="18"/>
  <c r="G25" i="18"/>
  <c r="M39" i="18"/>
  <c r="D51" i="18"/>
  <c r="L51" i="18"/>
  <c r="N24" i="18"/>
  <c r="P39" i="18"/>
  <c r="P51" i="18" s="1"/>
  <c r="E39" i="18"/>
  <c r="E51" i="18" s="1"/>
  <c r="S39" i="18"/>
  <c r="I49" i="18"/>
  <c r="I11" i="18"/>
  <c r="I25" i="18" s="1"/>
  <c r="S24" i="18"/>
  <c r="S25" i="18" s="1"/>
  <c r="I33" i="18"/>
  <c r="I39" i="18" s="1"/>
  <c r="N40" i="18"/>
  <c r="I44" i="18"/>
  <c r="K50" i="18"/>
  <c r="R51" i="18"/>
  <c r="E19" i="18"/>
  <c r="Q19" i="18"/>
  <c r="Q25" i="18" s="1"/>
  <c r="K25" i="18"/>
  <c r="N38" i="18"/>
  <c r="N39" i="18" s="1"/>
  <c r="Q39" i="18"/>
  <c r="Q51" i="18" s="1"/>
  <c r="M49" i="18"/>
  <c r="M50" i="18" s="1"/>
  <c r="S50" i="18"/>
  <c r="G50" i="18"/>
  <c r="N17" i="18"/>
  <c r="N29" i="18"/>
  <c r="N33" i="18" s="1"/>
  <c r="J57" i="19" l="1"/>
  <c r="N56" i="19"/>
  <c r="G51" i="18"/>
  <c r="K51" i="18"/>
  <c r="H54" i="18"/>
  <c r="S51" i="18"/>
  <c r="N19" i="18"/>
  <c r="M51" i="18"/>
  <c r="N44" i="18"/>
  <c r="N50" i="18" s="1"/>
  <c r="N51" i="18" s="1"/>
  <c r="I50" i="18"/>
  <c r="I51" i="18" s="1"/>
  <c r="N25" i="18"/>
  <c r="H55" i="18" l="1"/>
  <c r="L57" i="18"/>
  <c r="J57" i="18"/>
  <c r="N56" i="18"/>
  <c r="G62" i="17" l="1"/>
  <c r="H60" i="17"/>
  <c r="M59" i="17"/>
  <c r="I59" i="17"/>
  <c r="I8" i="17" l="1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7" i="17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7" i="15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7" i="13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7" i="12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7" i="10"/>
  <c r="O52" i="9"/>
  <c r="O53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7" i="9"/>
  <c r="O52" i="8"/>
  <c r="O53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7" i="8"/>
  <c r="I52" i="4"/>
  <c r="I53" i="4"/>
  <c r="P29" i="15" l="1"/>
  <c r="P29" i="11"/>
  <c r="P29" i="10"/>
  <c r="P29" i="9"/>
  <c r="P29" i="8"/>
  <c r="P29" i="7"/>
  <c r="P29" i="4"/>
  <c r="P9" i="12"/>
  <c r="P9" i="11"/>
  <c r="P9" i="9"/>
  <c r="P9" i="8"/>
  <c r="P9" i="7"/>
  <c r="D43" i="17" l="1"/>
  <c r="D43" i="15"/>
  <c r="D43" i="13"/>
  <c r="D43" i="12"/>
  <c r="D43" i="11"/>
  <c r="D43" i="10"/>
  <c r="D43" i="9"/>
  <c r="D43" i="8"/>
  <c r="D43" i="7"/>
  <c r="D43" i="4"/>
  <c r="D42" i="17"/>
  <c r="D42" i="15"/>
  <c r="D42" i="13"/>
  <c r="D42" i="12"/>
  <c r="D42" i="11"/>
  <c r="D42" i="10"/>
  <c r="D42" i="9"/>
  <c r="D42" i="8"/>
  <c r="D42" i="7"/>
  <c r="D42" i="4"/>
  <c r="D36" i="17"/>
  <c r="D36" i="15"/>
  <c r="D36" i="13"/>
  <c r="D36" i="12"/>
  <c r="D36" i="11"/>
  <c r="D36" i="10"/>
  <c r="D36" i="9"/>
  <c r="D36" i="8"/>
  <c r="D36" i="7"/>
  <c r="D35" i="17" l="1"/>
  <c r="D35" i="15"/>
  <c r="D35" i="13"/>
  <c r="D35" i="12"/>
  <c r="D35" i="11"/>
  <c r="D35" i="10"/>
  <c r="D35" i="9"/>
  <c r="D35" i="8"/>
  <c r="D35" i="7"/>
  <c r="D35" i="4"/>
  <c r="D34" i="17" l="1"/>
  <c r="D34" i="15"/>
  <c r="D34" i="13"/>
  <c r="D34" i="12"/>
  <c r="D34" i="11"/>
  <c r="D34" i="10"/>
  <c r="D34" i="9"/>
  <c r="D34" i="8"/>
  <c r="D34" i="7"/>
  <c r="D34" i="4"/>
  <c r="D49" i="17" l="1"/>
  <c r="F49" i="17"/>
  <c r="J49" i="17"/>
  <c r="L49" i="17"/>
  <c r="P49" i="17"/>
  <c r="R49" i="17"/>
  <c r="D44" i="17"/>
  <c r="F44" i="17"/>
  <c r="J44" i="17"/>
  <c r="L44" i="17"/>
  <c r="P44" i="17"/>
  <c r="R44" i="17"/>
  <c r="D38" i="17"/>
  <c r="F38" i="17"/>
  <c r="J38" i="17"/>
  <c r="L38" i="17"/>
  <c r="P38" i="17"/>
  <c r="R38" i="17"/>
  <c r="D33" i="17"/>
  <c r="F33" i="17"/>
  <c r="J33" i="17"/>
  <c r="L33" i="17"/>
  <c r="L39" i="17" s="1"/>
  <c r="P33" i="17"/>
  <c r="R33" i="17"/>
  <c r="D28" i="17"/>
  <c r="F28" i="17"/>
  <c r="J28" i="17"/>
  <c r="L28" i="17"/>
  <c r="P28" i="17"/>
  <c r="R28" i="17"/>
  <c r="D24" i="17"/>
  <c r="F24" i="17"/>
  <c r="J24" i="17"/>
  <c r="L24" i="17"/>
  <c r="P24" i="17"/>
  <c r="R24" i="17"/>
  <c r="D19" i="17"/>
  <c r="F19" i="17"/>
  <c r="J19" i="17"/>
  <c r="L19" i="17"/>
  <c r="P19" i="17"/>
  <c r="R19" i="17"/>
  <c r="D15" i="17"/>
  <c r="F15" i="17"/>
  <c r="J15" i="17"/>
  <c r="L15" i="17"/>
  <c r="P15" i="17"/>
  <c r="R15" i="17"/>
  <c r="D11" i="17"/>
  <c r="F11" i="17"/>
  <c r="J11" i="17"/>
  <c r="L11" i="17"/>
  <c r="P11" i="17"/>
  <c r="R11" i="17"/>
  <c r="O53" i="17"/>
  <c r="I53" i="17"/>
  <c r="O52" i="17"/>
  <c r="I52" i="17"/>
  <c r="L25" i="17" l="1"/>
  <c r="D25" i="17"/>
  <c r="P39" i="17"/>
  <c r="R39" i="17"/>
  <c r="R25" i="17"/>
  <c r="J50" i="17"/>
  <c r="R50" i="17"/>
  <c r="F50" i="17"/>
  <c r="L50" i="17"/>
  <c r="L51" i="17" s="1"/>
  <c r="P50" i="17"/>
  <c r="P25" i="17"/>
  <c r="F25" i="17"/>
  <c r="D50" i="17"/>
  <c r="D39" i="17"/>
  <c r="F39" i="17"/>
  <c r="J39" i="17"/>
  <c r="J25" i="17"/>
  <c r="P51" i="17" l="1"/>
  <c r="R51" i="17"/>
  <c r="F51" i="17"/>
  <c r="D51" i="17"/>
  <c r="J51" i="17"/>
  <c r="D49" i="15"/>
  <c r="F49" i="15"/>
  <c r="J49" i="15"/>
  <c r="J50" i="15" s="1"/>
  <c r="L49" i="15"/>
  <c r="P49" i="15"/>
  <c r="R49" i="15"/>
  <c r="D44" i="15"/>
  <c r="F44" i="15"/>
  <c r="J44" i="15"/>
  <c r="L44" i="15"/>
  <c r="P44" i="15"/>
  <c r="R44" i="15"/>
  <c r="D38" i="15"/>
  <c r="F38" i="15"/>
  <c r="J38" i="15"/>
  <c r="L38" i="15"/>
  <c r="L39" i="15" s="1"/>
  <c r="P38" i="15"/>
  <c r="R38" i="15"/>
  <c r="R39" i="15" s="1"/>
  <c r="D33" i="15"/>
  <c r="F33" i="15"/>
  <c r="J33" i="15"/>
  <c r="L33" i="15"/>
  <c r="P33" i="15"/>
  <c r="R33" i="15"/>
  <c r="D28" i="15"/>
  <c r="F28" i="15"/>
  <c r="F39" i="15" s="1"/>
  <c r="J28" i="15"/>
  <c r="J39" i="15" s="1"/>
  <c r="L28" i="15"/>
  <c r="P28" i="15"/>
  <c r="R28" i="15"/>
  <c r="D24" i="15"/>
  <c r="F24" i="15"/>
  <c r="J24" i="15"/>
  <c r="L24" i="15"/>
  <c r="P24" i="15"/>
  <c r="R24" i="15"/>
  <c r="D19" i="15"/>
  <c r="F19" i="15"/>
  <c r="J19" i="15"/>
  <c r="L19" i="15"/>
  <c r="P19" i="15"/>
  <c r="R19" i="15"/>
  <c r="R25" i="15" s="1"/>
  <c r="D15" i="15"/>
  <c r="F15" i="15"/>
  <c r="J15" i="15"/>
  <c r="L15" i="15"/>
  <c r="P15" i="15"/>
  <c r="R15" i="15"/>
  <c r="D11" i="15"/>
  <c r="F11" i="15"/>
  <c r="J11" i="15"/>
  <c r="L11" i="15"/>
  <c r="P11" i="15"/>
  <c r="R11" i="15"/>
  <c r="O52" i="15"/>
  <c r="O53" i="15"/>
  <c r="I53" i="15"/>
  <c r="I52" i="15"/>
  <c r="F25" i="15" l="1"/>
  <c r="P50" i="15"/>
  <c r="L25" i="15"/>
  <c r="L50" i="15"/>
  <c r="R50" i="15"/>
  <c r="F50" i="15"/>
  <c r="F51" i="15" s="1"/>
  <c r="L51" i="15"/>
  <c r="R51" i="15"/>
  <c r="H55" i="17"/>
  <c r="P25" i="15"/>
  <c r="D50" i="15"/>
  <c r="P39" i="15"/>
  <c r="D39" i="15"/>
  <c r="D25" i="15"/>
  <c r="J25" i="15"/>
  <c r="J51" i="15" s="1"/>
  <c r="N57" i="17" l="1"/>
  <c r="L58" i="17"/>
  <c r="J58" i="17"/>
  <c r="P51" i="15"/>
  <c r="D51" i="15"/>
  <c r="H56" i="15" l="1"/>
  <c r="N58" i="15" l="1"/>
  <c r="J59" i="15"/>
  <c r="L59" i="15"/>
  <c r="D49" i="13"/>
  <c r="F49" i="13"/>
  <c r="J49" i="13"/>
  <c r="J50" i="13" s="1"/>
  <c r="L49" i="13"/>
  <c r="P49" i="13"/>
  <c r="R49" i="13"/>
  <c r="L50" i="13"/>
  <c r="D44" i="13"/>
  <c r="F44" i="13"/>
  <c r="J44" i="13"/>
  <c r="L44" i="13"/>
  <c r="P44" i="13"/>
  <c r="P50" i="13" s="1"/>
  <c r="R44" i="13"/>
  <c r="D38" i="13"/>
  <c r="F38" i="13"/>
  <c r="J38" i="13"/>
  <c r="L38" i="13"/>
  <c r="P38" i="13"/>
  <c r="R38" i="13"/>
  <c r="D33" i="13"/>
  <c r="F33" i="13"/>
  <c r="J33" i="13"/>
  <c r="L33" i="13"/>
  <c r="L39" i="13" s="1"/>
  <c r="P33" i="13"/>
  <c r="R33" i="13"/>
  <c r="D28" i="13"/>
  <c r="F28" i="13"/>
  <c r="J28" i="13"/>
  <c r="L28" i="13"/>
  <c r="P28" i="13"/>
  <c r="R28" i="13"/>
  <c r="D24" i="13"/>
  <c r="F24" i="13"/>
  <c r="J24" i="13"/>
  <c r="L24" i="13"/>
  <c r="P24" i="13"/>
  <c r="R24" i="13"/>
  <c r="D19" i="13"/>
  <c r="F19" i="13"/>
  <c r="J19" i="13"/>
  <c r="L19" i="13"/>
  <c r="P19" i="13"/>
  <c r="R19" i="13"/>
  <c r="D15" i="13"/>
  <c r="F15" i="13"/>
  <c r="J15" i="13"/>
  <c r="L15" i="13"/>
  <c r="L25" i="13" s="1"/>
  <c r="P15" i="13"/>
  <c r="R15" i="13"/>
  <c r="D11" i="13"/>
  <c r="D25" i="13" s="1"/>
  <c r="F11" i="13"/>
  <c r="J11" i="13"/>
  <c r="L11" i="13"/>
  <c r="P11" i="13"/>
  <c r="R11" i="13"/>
  <c r="N13" i="13"/>
  <c r="N13" i="15" s="1"/>
  <c r="N13" i="17" s="1"/>
  <c r="N18" i="13"/>
  <c r="N18" i="15" s="1"/>
  <c r="N18" i="17" s="1"/>
  <c r="N21" i="13"/>
  <c r="N21" i="15" s="1"/>
  <c r="N21" i="17" s="1"/>
  <c r="N42" i="13"/>
  <c r="N42" i="15" s="1"/>
  <c r="N42" i="17" s="1"/>
  <c r="N45" i="13"/>
  <c r="I53" i="13"/>
  <c r="I52" i="13"/>
  <c r="N48" i="13"/>
  <c r="N48" i="15" s="1"/>
  <c r="N48" i="17" s="1"/>
  <c r="N47" i="13"/>
  <c r="N47" i="15" s="1"/>
  <c r="N47" i="17" s="1"/>
  <c r="N43" i="13"/>
  <c r="N43" i="15" s="1"/>
  <c r="N43" i="17" s="1"/>
  <c r="N40" i="13"/>
  <c r="N37" i="13"/>
  <c r="N37" i="15" s="1"/>
  <c r="N37" i="17" s="1"/>
  <c r="N36" i="13"/>
  <c r="N36" i="15" s="1"/>
  <c r="N36" i="17" s="1"/>
  <c r="N35" i="13"/>
  <c r="N35" i="15" s="1"/>
  <c r="N35" i="17" s="1"/>
  <c r="N34" i="13"/>
  <c r="N32" i="13"/>
  <c r="N31" i="13"/>
  <c r="N31" i="15" s="1"/>
  <c r="N31" i="17" s="1"/>
  <c r="N30" i="13"/>
  <c r="N30" i="15" s="1"/>
  <c r="N30" i="17" s="1"/>
  <c r="N27" i="13"/>
  <c r="N26" i="13"/>
  <c r="N23" i="13"/>
  <c r="N23" i="15" s="1"/>
  <c r="N23" i="17" s="1"/>
  <c r="N22" i="13"/>
  <c r="N22" i="15" s="1"/>
  <c r="N22" i="17" s="1"/>
  <c r="N20" i="13"/>
  <c r="N17" i="13"/>
  <c r="N17" i="15" s="1"/>
  <c r="N17" i="17" s="1"/>
  <c r="N16" i="13"/>
  <c r="N14" i="13"/>
  <c r="N12" i="13"/>
  <c r="N10" i="13"/>
  <c r="N10" i="15" s="1"/>
  <c r="N10" i="17" s="1"/>
  <c r="N9" i="13"/>
  <c r="N9" i="15" s="1"/>
  <c r="N9" i="17" s="1"/>
  <c r="N8" i="13"/>
  <c r="N8" i="15" s="1"/>
  <c r="N8" i="17" s="1"/>
  <c r="N7" i="13"/>
  <c r="N12" i="15" l="1"/>
  <c r="N20" i="15"/>
  <c r="N28" i="13"/>
  <c r="N27" i="15"/>
  <c r="N27" i="17" s="1"/>
  <c r="N34" i="15"/>
  <c r="N40" i="15"/>
  <c r="R39" i="13"/>
  <c r="L51" i="13"/>
  <c r="N16" i="15"/>
  <c r="R25" i="13"/>
  <c r="N38" i="13"/>
  <c r="F39" i="13"/>
  <c r="R50" i="13"/>
  <c r="N15" i="13"/>
  <c r="N14" i="15"/>
  <c r="N14" i="17" s="1"/>
  <c r="N26" i="15"/>
  <c r="N32" i="15"/>
  <c r="D50" i="13"/>
  <c r="F50" i="13"/>
  <c r="N7" i="15"/>
  <c r="P39" i="13"/>
  <c r="D39" i="13"/>
  <c r="J39" i="13"/>
  <c r="N24" i="13"/>
  <c r="P25" i="13"/>
  <c r="P51" i="13" s="1"/>
  <c r="N19" i="13"/>
  <c r="J25" i="13"/>
  <c r="J51" i="13" s="1"/>
  <c r="F25" i="13"/>
  <c r="F51" i="13" s="1"/>
  <c r="N11" i="13"/>
  <c r="R51" i="13"/>
  <c r="N29" i="13"/>
  <c r="N41" i="13"/>
  <c r="N41" i="15" s="1"/>
  <c r="N41" i="17" s="1"/>
  <c r="N46" i="13"/>
  <c r="N46" i="15" s="1"/>
  <c r="N46" i="17" s="1"/>
  <c r="D51" i="13" l="1"/>
  <c r="N28" i="15"/>
  <c r="N49" i="13"/>
  <c r="N38" i="15"/>
  <c r="N24" i="15"/>
  <c r="N19" i="15"/>
  <c r="N29" i="15"/>
  <c r="N32" i="17"/>
  <c r="N44" i="13"/>
  <c r="N15" i="15"/>
  <c r="N33" i="13"/>
  <c r="N39" i="13" s="1"/>
  <c r="N45" i="15"/>
  <c r="N44" i="15"/>
  <c r="N11" i="15"/>
  <c r="N25" i="13"/>
  <c r="N33" i="15" l="1"/>
  <c r="N39" i="15" s="1"/>
  <c r="N20" i="17"/>
  <c r="N24" i="17" s="1"/>
  <c r="N12" i="17"/>
  <c r="N15" i="17" s="1"/>
  <c r="N16" i="17"/>
  <c r="N19" i="17" s="1"/>
  <c r="N29" i="17"/>
  <c r="N33" i="17" s="1"/>
  <c r="N34" i="17"/>
  <c r="N38" i="17" s="1"/>
  <c r="N26" i="17"/>
  <c r="N28" i="17" s="1"/>
  <c r="N49" i="15"/>
  <c r="N50" i="15" s="1"/>
  <c r="N25" i="15"/>
  <c r="N40" i="17"/>
  <c r="N44" i="17" s="1"/>
  <c r="N50" i="13"/>
  <c r="N51" i="13" s="1"/>
  <c r="N7" i="17"/>
  <c r="N11" i="17" s="1"/>
  <c r="H56" i="13"/>
  <c r="D49" i="12"/>
  <c r="F49" i="12"/>
  <c r="J49" i="12"/>
  <c r="L49" i="12"/>
  <c r="P49" i="12"/>
  <c r="R49" i="12"/>
  <c r="R50" i="12"/>
  <c r="D44" i="12"/>
  <c r="F44" i="12"/>
  <c r="F50" i="12" s="1"/>
  <c r="J44" i="12"/>
  <c r="L44" i="12"/>
  <c r="P44" i="12"/>
  <c r="R44" i="12"/>
  <c r="D38" i="12"/>
  <c r="F38" i="12"/>
  <c r="J38" i="12"/>
  <c r="L38" i="12"/>
  <c r="P38" i="12"/>
  <c r="R38" i="12"/>
  <c r="R39" i="12" s="1"/>
  <c r="D33" i="12"/>
  <c r="F33" i="12"/>
  <c r="J33" i="12"/>
  <c r="L33" i="12"/>
  <c r="L39" i="12" s="1"/>
  <c r="P33" i="12"/>
  <c r="R33" i="12"/>
  <c r="D28" i="12"/>
  <c r="F28" i="12"/>
  <c r="J28" i="12"/>
  <c r="L28" i="12"/>
  <c r="P28" i="12"/>
  <c r="R28" i="12"/>
  <c r="D24" i="12"/>
  <c r="F24" i="12"/>
  <c r="J24" i="12"/>
  <c r="L24" i="12"/>
  <c r="P24" i="12"/>
  <c r="R24" i="12"/>
  <c r="D19" i="12"/>
  <c r="F19" i="12"/>
  <c r="J19" i="12"/>
  <c r="L19" i="12"/>
  <c r="P19" i="12"/>
  <c r="R19" i="12"/>
  <c r="D15" i="12"/>
  <c r="F15" i="12"/>
  <c r="J15" i="12"/>
  <c r="L15" i="12"/>
  <c r="P15" i="12"/>
  <c r="R15" i="12"/>
  <c r="D11" i="12"/>
  <c r="F11" i="12"/>
  <c r="J11" i="12"/>
  <c r="L11" i="12"/>
  <c r="P11" i="12"/>
  <c r="R11" i="12"/>
  <c r="I52" i="12"/>
  <c r="I53" i="12"/>
  <c r="N25" i="17" l="1"/>
  <c r="N45" i="17"/>
  <c r="N49" i="17" s="1"/>
  <c r="N50" i="17" s="1"/>
  <c r="N51" i="15"/>
  <c r="N39" i="17"/>
  <c r="F25" i="12"/>
  <c r="P50" i="12"/>
  <c r="F39" i="12"/>
  <c r="P39" i="12"/>
  <c r="J50" i="12"/>
  <c r="F51" i="12"/>
  <c r="L25" i="12"/>
  <c r="R25" i="12"/>
  <c r="R51" i="12" s="1"/>
  <c r="D25" i="12"/>
  <c r="L50" i="12"/>
  <c r="N58" i="13"/>
  <c r="L59" i="13"/>
  <c r="J59" i="13"/>
  <c r="D50" i="12"/>
  <c r="D39" i="12"/>
  <c r="J39" i="12"/>
  <c r="P25" i="12"/>
  <c r="L51" i="12"/>
  <c r="J25" i="12"/>
  <c r="N51" i="17" l="1"/>
  <c r="P51" i="12"/>
  <c r="D51" i="12"/>
  <c r="J51" i="12"/>
  <c r="D49" i="11"/>
  <c r="F49" i="11"/>
  <c r="J49" i="11"/>
  <c r="L49" i="11"/>
  <c r="L50" i="11" s="1"/>
  <c r="P49" i="11"/>
  <c r="P50" i="11" s="1"/>
  <c r="R49" i="11"/>
  <c r="D44" i="11"/>
  <c r="D50" i="11" s="1"/>
  <c r="F44" i="11"/>
  <c r="J44" i="11"/>
  <c r="L44" i="11"/>
  <c r="P44" i="11"/>
  <c r="R44" i="11"/>
  <c r="D38" i="11"/>
  <c r="F38" i="11"/>
  <c r="J38" i="11"/>
  <c r="L38" i="11"/>
  <c r="P38" i="11"/>
  <c r="R38" i="11"/>
  <c r="D33" i="11"/>
  <c r="F33" i="11"/>
  <c r="J33" i="11"/>
  <c r="L33" i="11"/>
  <c r="P33" i="11"/>
  <c r="P39" i="11" s="1"/>
  <c r="R33" i="11"/>
  <c r="D28" i="11"/>
  <c r="F28" i="11"/>
  <c r="J28" i="11"/>
  <c r="L28" i="11"/>
  <c r="P28" i="11"/>
  <c r="R28" i="11"/>
  <c r="D24" i="11"/>
  <c r="F24" i="11"/>
  <c r="J24" i="11"/>
  <c r="L24" i="11"/>
  <c r="P24" i="11"/>
  <c r="R24" i="11"/>
  <c r="D19" i="11"/>
  <c r="F19" i="11"/>
  <c r="J19" i="11"/>
  <c r="L19" i="11"/>
  <c r="P19" i="11"/>
  <c r="R19" i="11"/>
  <c r="D15" i="11"/>
  <c r="F15" i="11"/>
  <c r="J15" i="11"/>
  <c r="L15" i="11"/>
  <c r="P15" i="11"/>
  <c r="R15" i="11"/>
  <c r="D11" i="11"/>
  <c r="F11" i="11"/>
  <c r="J11" i="11"/>
  <c r="L11" i="11"/>
  <c r="P11" i="11"/>
  <c r="R11" i="11"/>
  <c r="P25" i="11" l="1"/>
  <c r="L25" i="11"/>
  <c r="D25" i="11"/>
  <c r="R39" i="11"/>
  <c r="R25" i="11"/>
  <c r="F25" i="11"/>
  <c r="L39" i="11"/>
  <c r="R50" i="11"/>
  <c r="F50" i="11"/>
  <c r="J39" i="11"/>
  <c r="F39" i="11"/>
  <c r="D39" i="11"/>
  <c r="D51" i="11" s="1"/>
  <c r="J50" i="11"/>
  <c r="H56" i="12"/>
  <c r="P51" i="11"/>
  <c r="J25" i="11"/>
  <c r="I53" i="11"/>
  <c r="E53" i="11"/>
  <c r="I52" i="11"/>
  <c r="E52" i="11"/>
  <c r="J51" i="11" l="1"/>
  <c r="E53" i="17"/>
  <c r="E53" i="15"/>
  <c r="E53" i="13"/>
  <c r="E53" i="12"/>
  <c r="L51" i="11"/>
  <c r="E52" i="17"/>
  <c r="E52" i="15"/>
  <c r="E52" i="13"/>
  <c r="E52" i="12"/>
  <c r="F51" i="11"/>
  <c r="R51" i="11"/>
  <c r="L59" i="12"/>
  <c r="N58" i="12"/>
  <c r="J59" i="12"/>
  <c r="D49" i="10" l="1"/>
  <c r="F49" i="10"/>
  <c r="J49" i="10"/>
  <c r="L49" i="10"/>
  <c r="P49" i="10"/>
  <c r="R49" i="10"/>
  <c r="D44" i="10"/>
  <c r="D50" i="10" s="1"/>
  <c r="F44" i="10"/>
  <c r="J44" i="10"/>
  <c r="L44" i="10"/>
  <c r="L50" i="10" s="1"/>
  <c r="P44" i="10"/>
  <c r="R44" i="10"/>
  <c r="D38" i="10"/>
  <c r="F38" i="10"/>
  <c r="J38" i="10"/>
  <c r="L38" i="10"/>
  <c r="P38" i="10"/>
  <c r="R38" i="10"/>
  <c r="D33" i="10"/>
  <c r="F33" i="10"/>
  <c r="J33" i="10"/>
  <c r="L33" i="10"/>
  <c r="L39" i="10" s="1"/>
  <c r="P33" i="10"/>
  <c r="R33" i="10"/>
  <c r="D28" i="10"/>
  <c r="F28" i="10"/>
  <c r="J28" i="10"/>
  <c r="L28" i="10"/>
  <c r="P28" i="10"/>
  <c r="R28" i="10"/>
  <c r="D24" i="10"/>
  <c r="F24" i="10"/>
  <c r="J24" i="10"/>
  <c r="L24" i="10"/>
  <c r="P24" i="10"/>
  <c r="R24" i="10"/>
  <c r="D19" i="10"/>
  <c r="F19" i="10"/>
  <c r="J19" i="10"/>
  <c r="L19" i="10"/>
  <c r="P19" i="10"/>
  <c r="R19" i="10"/>
  <c r="D15" i="10"/>
  <c r="F15" i="10"/>
  <c r="J15" i="10"/>
  <c r="L15" i="10"/>
  <c r="P15" i="10"/>
  <c r="R15" i="10"/>
  <c r="D11" i="10"/>
  <c r="F11" i="10"/>
  <c r="J11" i="10"/>
  <c r="L11" i="10"/>
  <c r="P11" i="10"/>
  <c r="R11" i="10"/>
  <c r="S53" i="10"/>
  <c r="S53" i="11" s="1"/>
  <c r="I53" i="10"/>
  <c r="E53" i="10"/>
  <c r="C53" i="10"/>
  <c r="H53" i="10" s="1"/>
  <c r="C53" i="11" s="1"/>
  <c r="H53" i="11" s="1"/>
  <c r="S52" i="10"/>
  <c r="S52" i="11" s="1"/>
  <c r="I52" i="10"/>
  <c r="E52" i="10"/>
  <c r="C52" i="10"/>
  <c r="H52" i="10" s="1"/>
  <c r="C52" i="11" s="1"/>
  <c r="H52" i="11" s="1"/>
  <c r="L25" i="10" l="1"/>
  <c r="S52" i="17"/>
  <c r="S52" i="15"/>
  <c r="S52" i="13"/>
  <c r="S52" i="12"/>
  <c r="S53" i="17"/>
  <c r="S53" i="15"/>
  <c r="S53" i="13"/>
  <c r="S53" i="12"/>
  <c r="D25" i="10"/>
  <c r="P39" i="10"/>
  <c r="P50" i="10"/>
  <c r="L51" i="10"/>
  <c r="R25" i="10"/>
  <c r="F39" i="10"/>
  <c r="R50" i="10"/>
  <c r="J50" i="10"/>
  <c r="F25" i="10"/>
  <c r="R39" i="10"/>
  <c r="F50" i="10"/>
  <c r="C52" i="15"/>
  <c r="H52" i="15" s="1"/>
  <c r="C52" i="18" s="1"/>
  <c r="H52" i="18" s="1"/>
  <c r="C52" i="19" s="1"/>
  <c r="H52" i="19" s="1"/>
  <c r="C53" i="15"/>
  <c r="H53" i="15" s="1"/>
  <c r="C53" i="18" s="1"/>
  <c r="H53" i="18" s="1"/>
  <c r="C53" i="19" s="1"/>
  <c r="H53" i="19" s="1"/>
  <c r="C52" i="12"/>
  <c r="H52" i="12" s="1"/>
  <c r="C52" i="13"/>
  <c r="H52" i="13" s="1"/>
  <c r="C53" i="12"/>
  <c r="H53" i="12" s="1"/>
  <c r="C53" i="13"/>
  <c r="H53" i="13" s="1"/>
  <c r="H56" i="11"/>
  <c r="L59" i="11" s="1"/>
  <c r="D39" i="10"/>
  <c r="J39" i="10"/>
  <c r="P25" i="10"/>
  <c r="P51" i="10" s="1"/>
  <c r="J25" i="10"/>
  <c r="C53" i="17" l="1"/>
  <c r="H53" i="17" s="1"/>
  <c r="C52" i="17"/>
  <c r="H52" i="17" s="1"/>
  <c r="D51" i="10"/>
  <c r="F51" i="10"/>
  <c r="R51" i="10"/>
  <c r="J59" i="11"/>
  <c r="N58" i="11"/>
  <c r="J51" i="10"/>
  <c r="P11" i="9"/>
  <c r="D49" i="9"/>
  <c r="F49" i="9"/>
  <c r="F50" i="9" s="1"/>
  <c r="J49" i="9"/>
  <c r="J50" i="9" s="1"/>
  <c r="L49" i="9"/>
  <c r="L50" i="9" s="1"/>
  <c r="P49" i="9"/>
  <c r="P50" i="9" s="1"/>
  <c r="R49" i="9"/>
  <c r="R50" i="9" s="1"/>
  <c r="D44" i="9"/>
  <c r="F44" i="9"/>
  <c r="J44" i="9"/>
  <c r="L44" i="9"/>
  <c r="P44" i="9"/>
  <c r="R44" i="9"/>
  <c r="D38" i="9"/>
  <c r="F38" i="9"/>
  <c r="J38" i="9"/>
  <c r="L38" i="9"/>
  <c r="P38" i="9"/>
  <c r="R38" i="9"/>
  <c r="R39" i="9" s="1"/>
  <c r="D33" i="9"/>
  <c r="F33" i="9"/>
  <c r="J33" i="9"/>
  <c r="L33" i="9"/>
  <c r="L39" i="9" s="1"/>
  <c r="P33" i="9"/>
  <c r="R33" i="9"/>
  <c r="D28" i="9"/>
  <c r="F28" i="9"/>
  <c r="J28" i="9"/>
  <c r="J39" i="9" s="1"/>
  <c r="L28" i="9"/>
  <c r="P28" i="9"/>
  <c r="R28" i="9"/>
  <c r="D24" i="9"/>
  <c r="F24" i="9"/>
  <c r="J24" i="9"/>
  <c r="L24" i="9"/>
  <c r="L25" i="9" s="1"/>
  <c r="P24" i="9"/>
  <c r="R24" i="9"/>
  <c r="R25" i="9" s="1"/>
  <c r="D19" i="9"/>
  <c r="F19" i="9"/>
  <c r="F25" i="9" s="1"/>
  <c r="J19" i="9"/>
  <c r="L19" i="9"/>
  <c r="P19" i="9"/>
  <c r="R19" i="9"/>
  <c r="D15" i="9"/>
  <c r="F15" i="9"/>
  <c r="J15" i="9"/>
  <c r="L15" i="9"/>
  <c r="P15" i="9"/>
  <c r="R15" i="9"/>
  <c r="D11" i="9"/>
  <c r="D25" i="9" s="1"/>
  <c r="F11" i="9"/>
  <c r="J11" i="9"/>
  <c r="L11" i="9"/>
  <c r="R11" i="9"/>
  <c r="L51" i="9" l="1"/>
  <c r="F39" i="9"/>
  <c r="F51" i="9" s="1"/>
  <c r="H56" i="10"/>
  <c r="P25" i="9"/>
  <c r="D50" i="9"/>
  <c r="R51" i="9"/>
  <c r="D39" i="9"/>
  <c r="P39" i="9"/>
  <c r="P51" i="9" s="1"/>
  <c r="J25" i="9"/>
  <c r="J51" i="9" s="1"/>
  <c r="S53" i="9"/>
  <c r="I53" i="9"/>
  <c r="E53" i="9"/>
  <c r="C53" i="9"/>
  <c r="H53" i="9" s="1"/>
  <c r="S52" i="9"/>
  <c r="I52" i="9"/>
  <c r="E52" i="9"/>
  <c r="C52" i="9"/>
  <c r="H52" i="9" s="1"/>
  <c r="N48" i="9"/>
  <c r="N48" i="10" s="1"/>
  <c r="N48" i="11" s="1"/>
  <c r="N48" i="12" s="1"/>
  <c r="N47" i="9"/>
  <c r="N47" i="10" s="1"/>
  <c r="N47" i="11" s="1"/>
  <c r="N47" i="12" s="1"/>
  <c r="N46" i="9"/>
  <c r="N46" i="10" s="1"/>
  <c r="N46" i="11" s="1"/>
  <c r="N46" i="12" s="1"/>
  <c r="N45" i="9"/>
  <c r="N43" i="9"/>
  <c r="N43" i="10" s="1"/>
  <c r="N43" i="11" s="1"/>
  <c r="N43" i="12" s="1"/>
  <c r="N42" i="9"/>
  <c r="N42" i="10" s="1"/>
  <c r="N42" i="11" s="1"/>
  <c r="N42" i="12" s="1"/>
  <c r="N41" i="9"/>
  <c r="N41" i="10" s="1"/>
  <c r="N41" i="11" s="1"/>
  <c r="N41" i="12" s="1"/>
  <c r="N40" i="9"/>
  <c r="N37" i="9"/>
  <c r="N37" i="10" s="1"/>
  <c r="N37" i="11" s="1"/>
  <c r="N37" i="12" s="1"/>
  <c r="N36" i="9"/>
  <c r="N36" i="10" s="1"/>
  <c r="N36" i="11" s="1"/>
  <c r="N36" i="12" s="1"/>
  <c r="N35" i="9"/>
  <c r="N35" i="10" s="1"/>
  <c r="N35" i="11" s="1"/>
  <c r="N35" i="12" s="1"/>
  <c r="N34" i="9"/>
  <c r="N32" i="9"/>
  <c r="N31" i="9"/>
  <c r="N31" i="10" s="1"/>
  <c r="N31" i="11" s="1"/>
  <c r="N31" i="12" s="1"/>
  <c r="N30" i="9"/>
  <c r="N30" i="10" s="1"/>
  <c r="N30" i="11" s="1"/>
  <c r="N30" i="12" s="1"/>
  <c r="N29" i="9"/>
  <c r="N27" i="9"/>
  <c r="N26" i="9"/>
  <c r="N23" i="9"/>
  <c r="N23" i="10" s="1"/>
  <c r="N23" i="11" s="1"/>
  <c r="N23" i="12" s="1"/>
  <c r="N22" i="9"/>
  <c r="N22" i="10" s="1"/>
  <c r="N22" i="11" s="1"/>
  <c r="N22" i="12" s="1"/>
  <c r="N21" i="9"/>
  <c r="N21" i="10" s="1"/>
  <c r="N21" i="11" s="1"/>
  <c r="N21" i="12" s="1"/>
  <c r="N20" i="9"/>
  <c r="N18" i="9"/>
  <c r="N18" i="10" s="1"/>
  <c r="N18" i="11" s="1"/>
  <c r="N17" i="9"/>
  <c r="N17" i="10" s="1"/>
  <c r="N17" i="11" s="1"/>
  <c r="N17" i="12" s="1"/>
  <c r="N16" i="9"/>
  <c r="N14" i="9"/>
  <c r="N14" i="10" s="1"/>
  <c r="N14" i="11" s="1"/>
  <c r="N14" i="12" s="1"/>
  <c r="N13" i="9"/>
  <c r="N13" i="10" s="1"/>
  <c r="N13" i="11" s="1"/>
  <c r="N13" i="12" s="1"/>
  <c r="N12" i="9"/>
  <c r="N10" i="9"/>
  <c r="N10" i="10" s="1"/>
  <c r="N10" i="11" s="1"/>
  <c r="N10" i="12" s="1"/>
  <c r="N9" i="9"/>
  <c r="N9" i="10" s="1"/>
  <c r="N9" i="11" s="1"/>
  <c r="N9" i="12" s="1"/>
  <c r="N8" i="9"/>
  <c r="N8" i="10" s="1"/>
  <c r="N8" i="11" s="1"/>
  <c r="N8" i="12" s="1"/>
  <c r="N7" i="9"/>
  <c r="N16" i="10" l="1"/>
  <c r="N28" i="9"/>
  <c r="N27" i="10"/>
  <c r="N33" i="9"/>
  <c r="N32" i="10"/>
  <c r="N32" i="11" s="1"/>
  <c r="N32" i="12" s="1"/>
  <c r="N12" i="10"/>
  <c r="N29" i="10"/>
  <c r="N38" i="9"/>
  <c r="N44" i="9"/>
  <c r="N49" i="9"/>
  <c r="N18" i="12"/>
  <c r="N24" i="9"/>
  <c r="N26" i="10"/>
  <c r="N7" i="10"/>
  <c r="N58" i="10"/>
  <c r="L59" i="10"/>
  <c r="J59" i="10"/>
  <c r="D51" i="9"/>
  <c r="N19" i="9"/>
  <c r="N15" i="9"/>
  <c r="N11" i="9"/>
  <c r="N20" i="10" l="1"/>
  <c r="N50" i="9"/>
  <c r="N28" i="10"/>
  <c r="N27" i="11"/>
  <c r="N27" i="12" s="1"/>
  <c r="N45" i="10"/>
  <c r="N34" i="10"/>
  <c r="N15" i="10"/>
  <c r="N39" i="9"/>
  <c r="N33" i="10"/>
  <c r="N19" i="10"/>
  <c r="N26" i="11"/>
  <c r="N40" i="10"/>
  <c r="I7" i="11"/>
  <c r="N11" i="10"/>
  <c r="N25" i="9"/>
  <c r="N51" i="9" s="1"/>
  <c r="N28" i="11" l="1"/>
  <c r="N29" i="11"/>
  <c r="N12" i="11"/>
  <c r="N49" i="10"/>
  <c r="N44" i="10"/>
  <c r="N38" i="10"/>
  <c r="N39" i="10" s="1"/>
  <c r="N24" i="10"/>
  <c r="N25" i="10" s="1"/>
  <c r="N16" i="11"/>
  <c r="N7" i="11"/>
  <c r="H56" i="9"/>
  <c r="J45" i="8"/>
  <c r="J49" i="8" s="1"/>
  <c r="D49" i="8"/>
  <c r="F49" i="8"/>
  <c r="L49" i="8"/>
  <c r="P49" i="8"/>
  <c r="R49" i="8"/>
  <c r="R50" i="8" s="1"/>
  <c r="L50" i="8"/>
  <c r="D44" i="8"/>
  <c r="F44" i="8"/>
  <c r="J44" i="8"/>
  <c r="L44" i="8"/>
  <c r="P44" i="8"/>
  <c r="P50" i="8" s="1"/>
  <c r="R44" i="8"/>
  <c r="D38" i="8"/>
  <c r="F38" i="8"/>
  <c r="J38" i="8"/>
  <c r="L38" i="8"/>
  <c r="P38" i="8"/>
  <c r="R38" i="8"/>
  <c r="D33" i="8"/>
  <c r="F33" i="8"/>
  <c r="J33" i="8"/>
  <c r="L33" i="8"/>
  <c r="L39" i="8" s="1"/>
  <c r="P33" i="8"/>
  <c r="R33" i="8"/>
  <c r="D28" i="8"/>
  <c r="F28" i="8"/>
  <c r="J28" i="8"/>
  <c r="L28" i="8"/>
  <c r="P28" i="8"/>
  <c r="R28" i="8"/>
  <c r="D24" i="8"/>
  <c r="F24" i="8"/>
  <c r="J24" i="8"/>
  <c r="L24" i="8"/>
  <c r="P24" i="8"/>
  <c r="R24" i="8"/>
  <c r="D19" i="8"/>
  <c r="F19" i="8"/>
  <c r="J19" i="8"/>
  <c r="L19" i="8"/>
  <c r="P19" i="8"/>
  <c r="R19" i="8"/>
  <c r="D15" i="8"/>
  <c r="F15" i="8"/>
  <c r="J15" i="8"/>
  <c r="L15" i="8"/>
  <c r="L25" i="8" s="1"/>
  <c r="P15" i="8"/>
  <c r="R15" i="8"/>
  <c r="D11" i="8"/>
  <c r="F11" i="8"/>
  <c r="J11" i="8"/>
  <c r="L11" i="8"/>
  <c r="P11" i="8"/>
  <c r="R11" i="8"/>
  <c r="N15" i="11" l="1"/>
  <c r="N20" i="11"/>
  <c r="N40" i="11"/>
  <c r="N19" i="11"/>
  <c r="N50" i="10"/>
  <c r="N51" i="10" s="1"/>
  <c r="N33" i="11"/>
  <c r="N26" i="12"/>
  <c r="N28" i="12" s="1"/>
  <c r="N34" i="11"/>
  <c r="N45" i="11"/>
  <c r="D25" i="8"/>
  <c r="R39" i="8"/>
  <c r="J50" i="8"/>
  <c r="L51" i="8"/>
  <c r="N11" i="11"/>
  <c r="F39" i="8"/>
  <c r="F50" i="8"/>
  <c r="P25" i="8"/>
  <c r="F25" i="8"/>
  <c r="N58" i="9"/>
  <c r="J59" i="9"/>
  <c r="L59" i="9"/>
  <c r="P39" i="8"/>
  <c r="D50" i="8"/>
  <c r="D39" i="8"/>
  <c r="J39" i="8"/>
  <c r="P51" i="8"/>
  <c r="J25" i="8"/>
  <c r="R25" i="8"/>
  <c r="R51" i="8" s="1"/>
  <c r="S53" i="8"/>
  <c r="I53" i="8"/>
  <c r="E53" i="8"/>
  <c r="C53" i="8"/>
  <c r="H53" i="8" s="1"/>
  <c r="S52" i="8"/>
  <c r="I52" i="8"/>
  <c r="E52" i="8"/>
  <c r="C52" i="8"/>
  <c r="H52" i="8" s="1"/>
  <c r="N48" i="8"/>
  <c r="N47" i="8"/>
  <c r="N46" i="8"/>
  <c r="N45" i="8"/>
  <c r="N43" i="8"/>
  <c r="N42" i="8"/>
  <c r="N41" i="8"/>
  <c r="N40" i="8"/>
  <c r="N37" i="8"/>
  <c r="N36" i="8"/>
  <c r="N35" i="8"/>
  <c r="N34" i="8"/>
  <c r="N32" i="8"/>
  <c r="N31" i="8"/>
  <c r="N30" i="8"/>
  <c r="N29" i="8"/>
  <c r="N27" i="8"/>
  <c r="N26" i="8"/>
  <c r="N23" i="8"/>
  <c r="N22" i="8"/>
  <c r="N21" i="8"/>
  <c r="N20" i="8"/>
  <c r="N18" i="8"/>
  <c r="N17" i="8"/>
  <c r="N16" i="8"/>
  <c r="N14" i="8"/>
  <c r="N13" i="8"/>
  <c r="N12" i="8"/>
  <c r="N10" i="8"/>
  <c r="N9" i="8"/>
  <c r="N8" i="8"/>
  <c r="N7" i="8"/>
  <c r="N11" i="8" s="1"/>
  <c r="N16" i="12" l="1"/>
  <c r="N19" i="12" s="1"/>
  <c r="N49" i="11"/>
  <c r="N29" i="12"/>
  <c r="N33" i="12" s="1"/>
  <c r="N44" i="11"/>
  <c r="N12" i="12"/>
  <c r="N15" i="12" s="1"/>
  <c r="N38" i="11"/>
  <c r="N39" i="11" s="1"/>
  <c r="N24" i="11"/>
  <c r="N25" i="11" s="1"/>
  <c r="N19" i="8"/>
  <c r="N28" i="8"/>
  <c r="N33" i="8"/>
  <c r="N7" i="12"/>
  <c r="N11" i="12" s="1"/>
  <c r="N38" i="8"/>
  <c r="N44" i="8"/>
  <c r="N49" i="8"/>
  <c r="N50" i="8" s="1"/>
  <c r="F51" i="8"/>
  <c r="D51" i="8"/>
  <c r="J51" i="8"/>
  <c r="N24" i="8"/>
  <c r="N15" i="8"/>
  <c r="N20" i="12" l="1"/>
  <c r="N24" i="12" s="1"/>
  <c r="N25" i="12" s="1"/>
  <c r="N45" i="12"/>
  <c r="N49" i="12" s="1"/>
  <c r="N34" i="12"/>
  <c r="N38" i="12" s="1"/>
  <c r="N39" i="12" s="1"/>
  <c r="N40" i="12"/>
  <c r="N44" i="12" s="1"/>
  <c r="N50" i="11"/>
  <c r="N51" i="11" s="1"/>
  <c r="N39" i="8"/>
  <c r="N25" i="8"/>
  <c r="N51" i="8" s="1"/>
  <c r="J18" i="7"/>
  <c r="N50" i="12" l="1"/>
  <c r="N51" i="12" s="1"/>
  <c r="H56" i="8"/>
  <c r="N58" i="8" l="1"/>
  <c r="J59" i="8"/>
  <c r="L59" i="8"/>
  <c r="D49" i="7" l="1"/>
  <c r="F49" i="7"/>
  <c r="F50" i="7" s="1"/>
  <c r="I49" i="7"/>
  <c r="I50" i="7" s="1"/>
  <c r="J49" i="7"/>
  <c r="L49" i="7"/>
  <c r="P49" i="7"/>
  <c r="P50" i="7" s="1"/>
  <c r="R49" i="7"/>
  <c r="D44" i="7"/>
  <c r="F44" i="7"/>
  <c r="I44" i="7"/>
  <c r="J44" i="7"/>
  <c r="J50" i="7" s="1"/>
  <c r="L44" i="7"/>
  <c r="L50" i="7" s="1"/>
  <c r="P44" i="7"/>
  <c r="R44" i="7"/>
  <c r="R50" i="7" s="1"/>
  <c r="D38" i="7"/>
  <c r="F38" i="7"/>
  <c r="I38" i="7"/>
  <c r="J38" i="7"/>
  <c r="L38" i="7"/>
  <c r="P38" i="7"/>
  <c r="R38" i="7"/>
  <c r="D33" i="7"/>
  <c r="F33" i="7"/>
  <c r="I33" i="7"/>
  <c r="J33" i="7"/>
  <c r="L33" i="7"/>
  <c r="L39" i="7" s="1"/>
  <c r="P33" i="7"/>
  <c r="R33" i="7"/>
  <c r="D28" i="7"/>
  <c r="F28" i="7"/>
  <c r="I28" i="7"/>
  <c r="J28" i="7"/>
  <c r="L28" i="7"/>
  <c r="P28" i="7"/>
  <c r="R28" i="7"/>
  <c r="D24" i="7"/>
  <c r="F24" i="7"/>
  <c r="I24" i="7"/>
  <c r="J24" i="7"/>
  <c r="L24" i="7"/>
  <c r="P24" i="7"/>
  <c r="R24" i="7"/>
  <c r="D19" i="7"/>
  <c r="F19" i="7"/>
  <c r="I19" i="7"/>
  <c r="J19" i="7"/>
  <c r="L19" i="7"/>
  <c r="L25" i="7" s="1"/>
  <c r="P19" i="7"/>
  <c r="R19" i="7"/>
  <c r="D15" i="7"/>
  <c r="F15" i="7"/>
  <c r="I15" i="7"/>
  <c r="J15" i="7"/>
  <c r="L15" i="7"/>
  <c r="P15" i="7"/>
  <c r="R15" i="7"/>
  <c r="D11" i="7"/>
  <c r="F11" i="7"/>
  <c r="I11" i="7"/>
  <c r="J11" i="7"/>
  <c r="L11" i="7"/>
  <c r="P11" i="7"/>
  <c r="R11" i="7"/>
  <c r="N22" i="7"/>
  <c r="N26" i="7"/>
  <c r="N34" i="7"/>
  <c r="N38" i="7" s="1"/>
  <c r="N36" i="7"/>
  <c r="N42" i="7"/>
  <c r="N45" i="7"/>
  <c r="N49" i="7" s="1"/>
  <c r="N46" i="7"/>
  <c r="I52" i="7"/>
  <c r="I53" i="7"/>
  <c r="S53" i="7"/>
  <c r="Q53" i="7"/>
  <c r="K53" i="7"/>
  <c r="G53" i="7"/>
  <c r="E53" i="7"/>
  <c r="C53" i="7"/>
  <c r="H53" i="7" s="1"/>
  <c r="S52" i="7"/>
  <c r="Q52" i="7"/>
  <c r="K52" i="7"/>
  <c r="G52" i="7"/>
  <c r="E52" i="7"/>
  <c r="C52" i="7"/>
  <c r="H52" i="7" s="1"/>
  <c r="N48" i="7"/>
  <c r="N47" i="7"/>
  <c r="N43" i="7"/>
  <c r="N41" i="7"/>
  <c r="N40" i="7"/>
  <c r="N44" i="7" s="1"/>
  <c r="N37" i="7"/>
  <c r="N35" i="7"/>
  <c r="N32" i="7"/>
  <c r="N31" i="7"/>
  <c r="N30" i="7"/>
  <c r="N29" i="7"/>
  <c r="N33" i="7" s="1"/>
  <c r="N27" i="7"/>
  <c r="N28" i="7" s="1"/>
  <c r="N23" i="7"/>
  <c r="N21" i="7"/>
  <c r="N20" i="7"/>
  <c r="N24" i="7" s="1"/>
  <c r="N18" i="7"/>
  <c r="N17" i="7"/>
  <c r="N16" i="7"/>
  <c r="N14" i="7"/>
  <c r="N13" i="7"/>
  <c r="N12" i="7"/>
  <c r="N10" i="7"/>
  <c r="N9" i="7"/>
  <c r="N8" i="7"/>
  <c r="N7" i="7"/>
  <c r="N50" i="7" l="1"/>
  <c r="K52" i="9"/>
  <c r="K52" i="10" s="1"/>
  <c r="K52" i="11" s="1"/>
  <c r="K52" i="8"/>
  <c r="F39" i="7"/>
  <c r="N15" i="7"/>
  <c r="Q52" i="9"/>
  <c r="Q52" i="10" s="1"/>
  <c r="Q52" i="11" s="1"/>
  <c r="Q52" i="8"/>
  <c r="G53" i="11"/>
  <c r="G53" i="10"/>
  <c r="G53" i="9"/>
  <c r="G53" i="8"/>
  <c r="K53" i="9"/>
  <c r="K53" i="10" s="1"/>
  <c r="K53" i="11" s="1"/>
  <c r="K53" i="8"/>
  <c r="L51" i="7"/>
  <c r="R39" i="7"/>
  <c r="G52" i="11"/>
  <c r="G52" i="10"/>
  <c r="G52" i="9"/>
  <c r="G52" i="8"/>
  <c r="Q53" i="9"/>
  <c r="Q53" i="10" s="1"/>
  <c r="Q53" i="11" s="1"/>
  <c r="Q53" i="8"/>
  <c r="I25" i="7"/>
  <c r="I39" i="7"/>
  <c r="I51" i="7" s="1"/>
  <c r="R25" i="7"/>
  <c r="R51" i="7" s="1"/>
  <c r="D25" i="7"/>
  <c r="P39" i="7"/>
  <c r="D50" i="7"/>
  <c r="D39" i="7"/>
  <c r="N39" i="7"/>
  <c r="J39" i="7"/>
  <c r="P25" i="7"/>
  <c r="N19" i="7"/>
  <c r="F25" i="7"/>
  <c r="F51" i="7" s="1"/>
  <c r="N11" i="7"/>
  <c r="J25" i="7"/>
  <c r="K52" i="17" l="1"/>
  <c r="K52" i="15"/>
  <c r="K52" i="13"/>
  <c r="K52" i="12"/>
  <c r="G53" i="17"/>
  <c r="G53" i="15"/>
  <c r="G53" i="13"/>
  <c r="G53" i="12"/>
  <c r="Q52" i="17"/>
  <c r="Q52" i="15"/>
  <c r="Q52" i="13"/>
  <c r="Q52" i="12"/>
  <c r="Q53" i="17"/>
  <c r="Q53" i="15"/>
  <c r="Q53" i="13"/>
  <c r="Q53" i="12"/>
  <c r="G52" i="17"/>
  <c r="G52" i="15"/>
  <c r="G52" i="13"/>
  <c r="G52" i="12"/>
  <c r="K53" i="17"/>
  <c r="K53" i="15"/>
  <c r="K53" i="13"/>
  <c r="K53" i="12"/>
  <c r="N25" i="7"/>
  <c r="P51" i="7"/>
  <c r="D51" i="7"/>
  <c r="J51" i="7"/>
  <c r="N51" i="7"/>
  <c r="H56" i="7" l="1"/>
  <c r="L59" i="7" s="1"/>
  <c r="J59" i="7" l="1"/>
  <c r="N58" i="7"/>
  <c r="P16" i="4" l="1"/>
  <c r="D49" i="4" l="1"/>
  <c r="F49" i="4"/>
  <c r="J49" i="4"/>
  <c r="L49" i="4"/>
  <c r="P49" i="4"/>
  <c r="P50" i="4" s="1"/>
  <c r="R49" i="4"/>
  <c r="L50" i="4"/>
  <c r="D44" i="4"/>
  <c r="F44" i="4"/>
  <c r="J44" i="4"/>
  <c r="L44" i="4"/>
  <c r="P44" i="4"/>
  <c r="R44" i="4"/>
  <c r="D38" i="4"/>
  <c r="F38" i="4"/>
  <c r="J38" i="4"/>
  <c r="J39" i="4" s="1"/>
  <c r="L38" i="4"/>
  <c r="P38" i="4"/>
  <c r="R38" i="4"/>
  <c r="R39" i="4" s="1"/>
  <c r="D33" i="4"/>
  <c r="F33" i="4"/>
  <c r="J33" i="4"/>
  <c r="L33" i="4"/>
  <c r="L39" i="4" s="1"/>
  <c r="P33" i="4"/>
  <c r="P39" i="4" s="1"/>
  <c r="R33" i="4"/>
  <c r="D28" i="4"/>
  <c r="F28" i="4"/>
  <c r="J28" i="4"/>
  <c r="L28" i="4"/>
  <c r="P28" i="4"/>
  <c r="R28" i="4"/>
  <c r="R25" i="4"/>
  <c r="D24" i="4"/>
  <c r="F24" i="4"/>
  <c r="F25" i="4" s="1"/>
  <c r="J24" i="4"/>
  <c r="L24" i="4"/>
  <c r="P24" i="4"/>
  <c r="R24" i="4"/>
  <c r="D19" i="4"/>
  <c r="D25" i="4" s="1"/>
  <c r="F19" i="4"/>
  <c r="J19" i="4"/>
  <c r="L19" i="4"/>
  <c r="L25" i="4" s="1"/>
  <c r="P19" i="4"/>
  <c r="R19" i="4"/>
  <c r="D15" i="4"/>
  <c r="F15" i="4"/>
  <c r="J15" i="4"/>
  <c r="L15" i="4"/>
  <c r="P15" i="4"/>
  <c r="R15" i="4"/>
  <c r="D11" i="4"/>
  <c r="F11" i="4"/>
  <c r="L11" i="4"/>
  <c r="P11" i="4"/>
  <c r="R11" i="4"/>
  <c r="R50" i="4" l="1"/>
  <c r="R51" i="4" s="1"/>
  <c r="J50" i="4"/>
  <c r="F50" i="4"/>
  <c r="P25" i="4"/>
  <c r="P51" i="4" s="1"/>
  <c r="F39" i="4"/>
  <c r="D50" i="4"/>
  <c r="D39" i="4"/>
  <c r="D51" i="4" s="1"/>
  <c r="L51" i="4"/>
  <c r="S53" i="5"/>
  <c r="Q53" i="5"/>
  <c r="M53" i="5"/>
  <c r="K53" i="5"/>
  <c r="I53" i="5"/>
  <c r="G53" i="5"/>
  <c r="E53" i="5"/>
  <c r="C53" i="5"/>
  <c r="H53" i="5" s="1"/>
  <c r="S52" i="5"/>
  <c r="Q52" i="5"/>
  <c r="M52" i="5"/>
  <c r="K52" i="5"/>
  <c r="I52" i="5"/>
  <c r="G52" i="5"/>
  <c r="E52" i="5"/>
  <c r="C52" i="5"/>
  <c r="H52" i="5" s="1"/>
  <c r="C51" i="5"/>
  <c r="C50" i="5"/>
  <c r="R49" i="5"/>
  <c r="S49" i="5" s="1"/>
  <c r="P49" i="5"/>
  <c r="Q49" i="5" s="1"/>
  <c r="L49" i="5"/>
  <c r="L50" i="5" s="1"/>
  <c r="J49" i="5"/>
  <c r="F49" i="5"/>
  <c r="G49" i="5" s="1"/>
  <c r="D49" i="5"/>
  <c r="C49" i="5"/>
  <c r="S48" i="5"/>
  <c r="Q48" i="5"/>
  <c r="O48" i="5"/>
  <c r="T48" i="5" s="1"/>
  <c r="O48" i="4" s="1"/>
  <c r="M48" i="5"/>
  <c r="K48" i="5"/>
  <c r="I48" i="5"/>
  <c r="N48" i="5" s="1"/>
  <c r="I48" i="4" s="1"/>
  <c r="G48" i="5"/>
  <c r="E48" i="5"/>
  <c r="C48" i="5"/>
  <c r="H48" i="5" s="1"/>
  <c r="C48" i="4" s="1"/>
  <c r="S47" i="5"/>
  <c r="Q47" i="5"/>
  <c r="O47" i="5"/>
  <c r="T47" i="5" s="1"/>
  <c r="O47" i="4" s="1"/>
  <c r="M47" i="5"/>
  <c r="K47" i="5"/>
  <c r="I47" i="5"/>
  <c r="N47" i="5" s="1"/>
  <c r="I47" i="4" s="1"/>
  <c r="G47" i="5"/>
  <c r="E47" i="5"/>
  <c r="C47" i="5"/>
  <c r="H47" i="5" s="1"/>
  <c r="C47" i="4" s="1"/>
  <c r="S46" i="5"/>
  <c r="Q46" i="5"/>
  <c r="O46" i="5"/>
  <c r="T46" i="5" s="1"/>
  <c r="O46" i="4" s="1"/>
  <c r="M46" i="5"/>
  <c r="K46" i="5"/>
  <c r="I46" i="5"/>
  <c r="N46" i="5" s="1"/>
  <c r="I46" i="4" s="1"/>
  <c r="G46" i="5"/>
  <c r="E46" i="5"/>
  <c r="C46" i="5"/>
  <c r="H46" i="5" s="1"/>
  <c r="C46" i="4" s="1"/>
  <c r="S45" i="5"/>
  <c r="Q45" i="5"/>
  <c r="O45" i="5"/>
  <c r="M45" i="5"/>
  <c r="K45" i="5"/>
  <c r="I45" i="5"/>
  <c r="G45" i="5"/>
  <c r="E45" i="5"/>
  <c r="C45" i="5"/>
  <c r="H45" i="5" s="1"/>
  <c r="C45" i="4" s="1"/>
  <c r="R44" i="5"/>
  <c r="S44" i="5" s="1"/>
  <c r="P44" i="5"/>
  <c r="Q44" i="5" s="1"/>
  <c r="L44" i="5"/>
  <c r="J44" i="5"/>
  <c r="F44" i="5"/>
  <c r="G44" i="5" s="1"/>
  <c r="C44" i="5"/>
  <c r="S43" i="5"/>
  <c r="Q43" i="5"/>
  <c r="O43" i="5"/>
  <c r="T43" i="5" s="1"/>
  <c r="O43" i="4" s="1"/>
  <c r="M43" i="5"/>
  <c r="K43" i="5"/>
  <c r="I43" i="5"/>
  <c r="N43" i="5" s="1"/>
  <c r="I43" i="4" s="1"/>
  <c r="G43" i="5"/>
  <c r="E43" i="5"/>
  <c r="C43" i="5"/>
  <c r="H43" i="5" s="1"/>
  <c r="C43" i="4" s="1"/>
  <c r="S42" i="5"/>
  <c r="Q42" i="5"/>
  <c r="O42" i="5"/>
  <c r="T42" i="5" s="1"/>
  <c r="O42" i="4" s="1"/>
  <c r="M42" i="5"/>
  <c r="K42" i="5"/>
  <c r="I42" i="5"/>
  <c r="G42" i="5"/>
  <c r="D42" i="5"/>
  <c r="E42" i="5" s="1"/>
  <c r="C42" i="5"/>
  <c r="H42" i="5" s="1"/>
  <c r="C42" i="4" s="1"/>
  <c r="S41" i="5"/>
  <c r="Q41" i="5"/>
  <c r="O41" i="5"/>
  <c r="T41" i="5" s="1"/>
  <c r="O41" i="4" s="1"/>
  <c r="M41" i="5"/>
  <c r="K41" i="5"/>
  <c r="I41" i="5"/>
  <c r="N41" i="5" s="1"/>
  <c r="I41" i="4" s="1"/>
  <c r="G41" i="5"/>
  <c r="E41" i="5"/>
  <c r="C41" i="5"/>
  <c r="H41" i="5" s="1"/>
  <c r="C41" i="4" s="1"/>
  <c r="S40" i="5"/>
  <c r="Q40" i="5"/>
  <c r="O40" i="5"/>
  <c r="M40" i="5"/>
  <c r="K40" i="5"/>
  <c r="I40" i="5"/>
  <c r="N40" i="5" s="1"/>
  <c r="I40" i="4" s="1"/>
  <c r="G40" i="5"/>
  <c r="E40" i="5"/>
  <c r="C40" i="5"/>
  <c r="H40" i="5" s="1"/>
  <c r="C40" i="4" s="1"/>
  <c r="C39" i="5"/>
  <c r="R38" i="5"/>
  <c r="S38" i="5" s="1"/>
  <c r="P38" i="5"/>
  <c r="Q38" i="5" s="1"/>
  <c r="L38" i="5"/>
  <c r="J38" i="5"/>
  <c r="F38" i="5"/>
  <c r="G38" i="5" s="1"/>
  <c r="C38" i="5"/>
  <c r="S37" i="5"/>
  <c r="Q37" i="5"/>
  <c r="O37" i="5"/>
  <c r="T37" i="5" s="1"/>
  <c r="O37" i="4" s="1"/>
  <c r="M37" i="5"/>
  <c r="K37" i="5"/>
  <c r="I37" i="5"/>
  <c r="N37" i="5" s="1"/>
  <c r="I37" i="4" s="1"/>
  <c r="G37" i="5"/>
  <c r="E37" i="5"/>
  <c r="C37" i="5"/>
  <c r="H37" i="5" s="1"/>
  <c r="C37" i="4" s="1"/>
  <c r="S36" i="5"/>
  <c r="Q36" i="5"/>
  <c r="O36" i="5"/>
  <c r="T36" i="5" s="1"/>
  <c r="O36" i="4" s="1"/>
  <c r="M36" i="5"/>
  <c r="K36" i="5"/>
  <c r="I36" i="5"/>
  <c r="N36" i="5" s="1"/>
  <c r="I36" i="4" s="1"/>
  <c r="G36" i="5"/>
  <c r="D36" i="5"/>
  <c r="E36" i="5" s="1"/>
  <c r="C36" i="5"/>
  <c r="H36" i="5" s="1"/>
  <c r="C36" i="4" s="1"/>
  <c r="S35" i="5"/>
  <c r="Q35" i="5"/>
  <c r="O35" i="5"/>
  <c r="T35" i="5" s="1"/>
  <c r="O35" i="4" s="1"/>
  <c r="M35" i="5"/>
  <c r="K35" i="5"/>
  <c r="I35" i="5"/>
  <c r="N35" i="5" s="1"/>
  <c r="I35" i="4" s="1"/>
  <c r="G35" i="5"/>
  <c r="E35" i="5"/>
  <c r="D35" i="5"/>
  <c r="C35" i="5"/>
  <c r="H35" i="5" s="1"/>
  <c r="C35" i="4" s="1"/>
  <c r="S34" i="5"/>
  <c r="Q34" i="5"/>
  <c r="O34" i="5"/>
  <c r="M34" i="5"/>
  <c r="K34" i="5"/>
  <c r="I34" i="5"/>
  <c r="G34" i="5"/>
  <c r="D34" i="5"/>
  <c r="E34" i="5" s="1"/>
  <c r="C34" i="5"/>
  <c r="H34" i="5" s="1"/>
  <c r="C34" i="4" s="1"/>
  <c r="R33" i="5"/>
  <c r="R39" i="5" s="1"/>
  <c r="S39" i="5" s="1"/>
  <c r="P33" i="5"/>
  <c r="Q33" i="5" s="1"/>
  <c r="L33" i="5"/>
  <c r="J33" i="5"/>
  <c r="F33" i="5"/>
  <c r="D33" i="5"/>
  <c r="C33" i="5"/>
  <c r="S32" i="5"/>
  <c r="Q32" i="5"/>
  <c r="O32" i="5"/>
  <c r="T32" i="5" s="1"/>
  <c r="O32" i="4" s="1"/>
  <c r="M32" i="5"/>
  <c r="K32" i="5"/>
  <c r="I32" i="5"/>
  <c r="N32" i="5" s="1"/>
  <c r="I32" i="4" s="1"/>
  <c r="G32" i="5"/>
  <c r="E32" i="5"/>
  <c r="C32" i="5"/>
  <c r="H32" i="5" s="1"/>
  <c r="C32" i="4" s="1"/>
  <c r="S31" i="5"/>
  <c r="Q31" i="5"/>
  <c r="O31" i="5"/>
  <c r="T31" i="5" s="1"/>
  <c r="O31" i="4" s="1"/>
  <c r="M31" i="5"/>
  <c r="K31" i="5"/>
  <c r="I31" i="5"/>
  <c r="N31" i="5" s="1"/>
  <c r="I31" i="4" s="1"/>
  <c r="G31" i="5"/>
  <c r="E31" i="5"/>
  <c r="C31" i="5"/>
  <c r="H31" i="5" s="1"/>
  <c r="C31" i="4" s="1"/>
  <c r="S30" i="5"/>
  <c r="Q30" i="5"/>
  <c r="O30" i="5"/>
  <c r="T30" i="5" s="1"/>
  <c r="O30" i="4" s="1"/>
  <c r="M30" i="5"/>
  <c r="K30" i="5"/>
  <c r="I30" i="5"/>
  <c r="N30" i="5" s="1"/>
  <c r="I30" i="4" s="1"/>
  <c r="G30" i="5"/>
  <c r="E30" i="5"/>
  <c r="C30" i="5"/>
  <c r="H30" i="5" s="1"/>
  <c r="C30" i="4" s="1"/>
  <c r="S29" i="5"/>
  <c r="Q29" i="5"/>
  <c r="O29" i="5"/>
  <c r="M29" i="5"/>
  <c r="K29" i="5"/>
  <c r="I29" i="5"/>
  <c r="G29" i="5"/>
  <c r="E29" i="5"/>
  <c r="C29" i="5"/>
  <c r="H29" i="5" s="1"/>
  <c r="C29" i="4" s="1"/>
  <c r="R28" i="5"/>
  <c r="S28" i="5" s="1"/>
  <c r="Q28" i="5"/>
  <c r="P28" i="5"/>
  <c r="L28" i="5"/>
  <c r="J28" i="5"/>
  <c r="F28" i="5"/>
  <c r="G28" i="5" s="1"/>
  <c r="D28" i="5"/>
  <c r="C28" i="5"/>
  <c r="S27" i="5"/>
  <c r="Q27" i="5"/>
  <c r="O27" i="5"/>
  <c r="T27" i="5" s="1"/>
  <c r="O27" i="4" s="1"/>
  <c r="M27" i="5"/>
  <c r="K27" i="5"/>
  <c r="I27" i="5"/>
  <c r="N27" i="5" s="1"/>
  <c r="I27" i="4" s="1"/>
  <c r="G27" i="5"/>
  <c r="E27" i="5"/>
  <c r="C27" i="5"/>
  <c r="H27" i="5" s="1"/>
  <c r="C27" i="4" s="1"/>
  <c r="S26" i="5"/>
  <c r="Q26" i="5"/>
  <c r="O26" i="5"/>
  <c r="M26" i="5"/>
  <c r="K26" i="5"/>
  <c r="I26" i="5"/>
  <c r="G26" i="5"/>
  <c r="E26" i="5"/>
  <c r="C26" i="5"/>
  <c r="H26" i="5" s="1"/>
  <c r="C26" i="4" s="1"/>
  <c r="C25" i="5"/>
  <c r="R24" i="5"/>
  <c r="S24" i="5" s="1"/>
  <c r="P24" i="5"/>
  <c r="Q24" i="5" s="1"/>
  <c r="L24" i="5"/>
  <c r="J24" i="5"/>
  <c r="F24" i="5"/>
  <c r="G24" i="5" s="1"/>
  <c r="D24" i="5"/>
  <c r="C24" i="5"/>
  <c r="S23" i="5"/>
  <c r="Q23" i="5"/>
  <c r="O23" i="5"/>
  <c r="T23" i="5" s="1"/>
  <c r="O23" i="4" s="1"/>
  <c r="M23" i="5"/>
  <c r="K23" i="5"/>
  <c r="I23" i="5"/>
  <c r="N23" i="5" s="1"/>
  <c r="I23" i="4" s="1"/>
  <c r="G23" i="5"/>
  <c r="E23" i="5"/>
  <c r="C23" i="5"/>
  <c r="H23" i="5" s="1"/>
  <c r="C23" i="4" s="1"/>
  <c r="S22" i="5"/>
  <c r="Q22" i="5"/>
  <c r="O22" i="5"/>
  <c r="T22" i="5" s="1"/>
  <c r="O22" i="4" s="1"/>
  <c r="M22" i="5"/>
  <c r="K22" i="5"/>
  <c r="I22" i="5"/>
  <c r="N22" i="5" s="1"/>
  <c r="I22" i="4" s="1"/>
  <c r="G22" i="5"/>
  <c r="E22" i="5"/>
  <c r="C22" i="5"/>
  <c r="H22" i="5" s="1"/>
  <c r="C22" i="4" s="1"/>
  <c r="S21" i="5"/>
  <c r="Q21" i="5"/>
  <c r="O21" i="5"/>
  <c r="T21" i="5" s="1"/>
  <c r="O21" i="4" s="1"/>
  <c r="M21" i="5"/>
  <c r="K21" i="5"/>
  <c r="I21" i="5"/>
  <c r="N21" i="5" s="1"/>
  <c r="I21" i="4" s="1"/>
  <c r="G21" i="5"/>
  <c r="E21" i="5"/>
  <c r="C21" i="5"/>
  <c r="H21" i="5" s="1"/>
  <c r="C21" i="4" s="1"/>
  <c r="S20" i="5"/>
  <c r="Q20" i="5"/>
  <c r="O20" i="5"/>
  <c r="M20" i="5"/>
  <c r="K20" i="5"/>
  <c r="I20" i="5"/>
  <c r="G20" i="5"/>
  <c r="E20" i="5"/>
  <c r="C20" i="5"/>
  <c r="H20" i="5" s="1"/>
  <c r="C20" i="4" s="1"/>
  <c r="R19" i="5"/>
  <c r="S19" i="5" s="1"/>
  <c r="P19" i="5"/>
  <c r="L19" i="5"/>
  <c r="J19" i="5"/>
  <c r="F19" i="5"/>
  <c r="G19" i="5" s="1"/>
  <c r="D19" i="5"/>
  <c r="C19" i="5"/>
  <c r="S18" i="5"/>
  <c r="Q18" i="5"/>
  <c r="O18" i="5"/>
  <c r="T18" i="5" s="1"/>
  <c r="O18" i="4" s="1"/>
  <c r="M18" i="5"/>
  <c r="K18" i="5"/>
  <c r="I18" i="5"/>
  <c r="N18" i="5" s="1"/>
  <c r="I18" i="4" s="1"/>
  <c r="G18" i="5"/>
  <c r="E18" i="5"/>
  <c r="C18" i="5"/>
  <c r="H18" i="5" s="1"/>
  <c r="C18" i="4" s="1"/>
  <c r="S17" i="5"/>
  <c r="Q17" i="5"/>
  <c r="O17" i="5"/>
  <c r="T17" i="5" s="1"/>
  <c r="O17" i="4" s="1"/>
  <c r="M17" i="5"/>
  <c r="K17" i="5"/>
  <c r="I17" i="5"/>
  <c r="N17" i="5" s="1"/>
  <c r="I17" i="4" s="1"/>
  <c r="G17" i="5"/>
  <c r="E17" i="5"/>
  <c r="C17" i="5"/>
  <c r="H17" i="5" s="1"/>
  <c r="C17" i="4" s="1"/>
  <c r="S16" i="5"/>
  <c r="Q16" i="5"/>
  <c r="O16" i="5"/>
  <c r="M16" i="5"/>
  <c r="K16" i="5"/>
  <c r="I16" i="5"/>
  <c r="G16" i="5"/>
  <c r="E16" i="5"/>
  <c r="C16" i="5"/>
  <c r="H16" i="5" s="1"/>
  <c r="C16" i="4" s="1"/>
  <c r="R15" i="5"/>
  <c r="R25" i="5" s="1"/>
  <c r="S25" i="5" s="1"/>
  <c r="P15" i="5"/>
  <c r="Q15" i="5" s="1"/>
  <c r="L15" i="5"/>
  <c r="J15" i="5"/>
  <c r="J25" i="5" s="1"/>
  <c r="F15" i="5"/>
  <c r="F25" i="5" s="1"/>
  <c r="G25" i="5" s="1"/>
  <c r="D15" i="5"/>
  <c r="C15" i="5"/>
  <c r="S14" i="5"/>
  <c r="Q14" i="5"/>
  <c r="O14" i="5"/>
  <c r="T14" i="5" s="1"/>
  <c r="O14" i="4" s="1"/>
  <c r="M14" i="5"/>
  <c r="K14" i="5"/>
  <c r="I14" i="5"/>
  <c r="N14" i="5" s="1"/>
  <c r="I14" i="4" s="1"/>
  <c r="G14" i="5"/>
  <c r="E14" i="5"/>
  <c r="C14" i="5"/>
  <c r="H14" i="5" s="1"/>
  <c r="C14" i="4" s="1"/>
  <c r="S13" i="5"/>
  <c r="Q13" i="5"/>
  <c r="O13" i="5"/>
  <c r="T13" i="5" s="1"/>
  <c r="O13" i="4" s="1"/>
  <c r="M13" i="5"/>
  <c r="K13" i="5"/>
  <c r="I13" i="5"/>
  <c r="N13" i="5" s="1"/>
  <c r="I13" i="4" s="1"/>
  <c r="G13" i="5"/>
  <c r="E13" i="5"/>
  <c r="C13" i="5"/>
  <c r="H13" i="5" s="1"/>
  <c r="C13" i="4" s="1"/>
  <c r="S12" i="5"/>
  <c r="Q12" i="5"/>
  <c r="O12" i="5"/>
  <c r="T12" i="5" s="1"/>
  <c r="O12" i="4" s="1"/>
  <c r="M12" i="5"/>
  <c r="K12" i="5"/>
  <c r="I12" i="5"/>
  <c r="N12" i="5" s="1"/>
  <c r="I12" i="4" s="1"/>
  <c r="G12" i="5"/>
  <c r="E12" i="5"/>
  <c r="C12" i="5"/>
  <c r="H12" i="5" s="1"/>
  <c r="C12" i="4" s="1"/>
  <c r="R11" i="5"/>
  <c r="S11" i="5" s="1"/>
  <c r="P11" i="5"/>
  <c r="Q11" i="5" s="1"/>
  <c r="L11" i="5"/>
  <c r="J11" i="5"/>
  <c r="F11" i="5"/>
  <c r="G11" i="5" s="1"/>
  <c r="D11" i="5"/>
  <c r="C11" i="5"/>
  <c r="S10" i="5"/>
  <c r="Q10" i="5"/>
  <c r="O10" i="5"/>
  <c r="T10" i="5" s="1"/>
  <c r="O10" i="4" s="1"/>
  <c r="M10" i="5"/>
  <c r="K10" i="5"/>
  <c r="I10" i="5"/>
  <c r="N10" i="5" s="1"/>
  <c r="I10" i="4" s="1"/>
  <c r="G10" i="5"/>
  <c r="E10" i="5"/>
  <c r="C10" i="5"/>
  <c r="H10" i="5" s="1"/>
  <c r="C10" i="4" s="1"/>
  <c r="S9" i="5"/>
  <c r="Q9" i="5"/>
  <c r="O9" i="5"/>
  <c r="T9" i="5" s="1"/>
  <c r="O9" i="4" s="1"/>
  <c r="M9" i="5"/>
  <c r="K9" i="5"/>
  <c r="I9" i="5"/>
  <c r="N9" i="5" s="1"/>
  <c r="I9" i="4" s="1"/>
  <c r="G9" i="5"/>
  <c r="E9" i="5"/>
  <c r="C9" i="5"/>
  <c r="H9" i="5" s="1"/>
  <c r="C9" i="4" s="1"/>
  <c r="S8" i="5"/>
  <c r="Q8" i="5"/>
  <c r="O8" i="5"/>
  <c r="T8" i="5" s="1"/>
  <c r="O8" i="4" s="1"/>
  <c r="M8" i="5"/>
  <c r="K8" i="5"/>
  <c r="I8" i="5"/>
  <c r="N8" i="5" s="1"/>
  <c r="I8" i="4" s="1"/>
  <c r="G8" i="5"/>
  <c r="E8" i="5"/>
  <c r="C8" i="5"/>
  <c r="H8" i="5" s="1"/>
  <c r="C8" i="4" s="1"/>
  <c r="S7" i="5"/>
  <c r="Q7" i="5"/>
  <c r="O7" i="5"/>
  <c r="M7" i="5"/>
  <c r="K7" i="5"/>
  <c r="I7" i="5"/>
  <c r="G7" i="5"/>
  <c r="E7" i="5"/>
  <c r="C7" i="5"/>
  <c r="H7" i="5" s="1"/>
  <c r="C7" i="4" s="1"/>
  <c r="F51" i="4" l="1"/>
  <c r="D38" i="5"/>
  <c r="D39" i="5" s="1"/>
  <c r="L25" i="5"/>
  <c r="F39" i="5"/>
  <c r="G39" i="5" s="1"/>
  <c r="J50" i="5"/>
  <c r="J39" i="5"/>
  <c r="L39" i="5"/>
  <c r="P50" i="5"/>
  <c r="Q50" i="5" s="1"/>
  <c r="E28" i="5"/>
  <c r="M28" i="5"/>
  <c r="I38" i="5"/>
  <c r="O24" i="5"/>
  <c r="M11" i="5"/>
  <c r="E11" i="5"/>
  <c r="U8" i="5"/>
  <c r="I33" i="5"/>
  <c r="O11" i="5"/>
  <c r="K15" i="5"/>
  <c r="O38" i="5"/>
  <c r="E15" i="5"/>
  <c r="M15" i="5"/>
  <c r="M24" i="5"/>
  <c r="O33" i="5"/>
  <c r="O44" i="5"/>
  <c r="I49" i="5"/>
  <c r="E33" i="5"/>
  <c r="M33" i="5"/>
  <c r="O49" i="5"/>
  <c r="O50" i="5" s="1"/>
  <c r="E19" i="5"/>
  <c r="U17" i="5"/>
  <c r="I24" i="5"/>
  <c r="H33" i="5"/>
  <c r="C33" i="4" s="1"/>
  <c r="E38" i="5"/>
  <c r="K44" i="5"/>
  <c r="E49" i="5"/>
  <c r="M49" i="5"/>
  <c r="K38" i="5"/>
  <c r="N15" i="5"/>
  <c r="I15" i="4" s="1"/>
  <c r="U23" i="5"/>
  <c r="U46" i="5"/>
  <c r="T15" i="5"/>
  <c r="O15" i="4" s="1"/>
  <c r="U13" i="5"/>
  <c r="U30" i="5"/>
  <c r="U31" i="5"/>
  <c r="I11" i="5"/>
  <c r="U22" i="5"/>
  <c r="N29" i="5"/>
  <c r="T29" i="5"/>
  <c r="U48" i="5"/>
  <c r="U9" i="5"/>
  <c r="U21" i="5"/>
  <c r="U27" i="5"/>
  <c r="U18" i="5"/>
  <c r="U10" i="5"/>
  <c r="U37" i="5"/>
  <c r="U43" i="5"/>
  <c r="H49" i="5"/>
  <c r="C49" i="4" s="1"/>
  <c r="U41" i="5"/>
  <c r="U47" i="5"/>
  <c r="N7" i="5"/>
  <c r="T7" i="5"/>
  <c r="U14" i="5"/>
  <c r="M19" i="5"/>
  <c r="N20" i="5"/>
  <c r="I20" i="4" s="1"/>
  <c r="T20" i="5"/>
  <c r="M44" i="5"/>
  <c r="H19" i="5"/>
  <c r="C19" i="4" s="1"/>
  <c r="K19" i="5"/>
  <c r="K28" i="5"/>
  <c r="K33" i="5"/>
  <c r="M38" i="5"/>
  <c r="T40" i="5"/>
  <c r="I44" i="5"/>
  <c r="I50" i="5" s="1"/>
  <c r="N45" i="5"/>
  <c r="T45" i="5"/>
  <c r="E24" i="5"/>
  <c r="K24" i="5"/>
  <c r="N34" i="5"/>
  <c r="T34" i="5"/>
  <c r="U35" i="5"/>
  <c r="U36" i="5"/>
  <c r="E44" i="5"/>
  <c r="K49" i="5"/>
  <c r="K11" i="5"/>
  <c r="H15" i="5"/>
  <c r="C15" i="4" s="1"/>
  <c r="U12" i="5"/>
  <c r="U15" i="5" s="1"/>
  <c r="I15" i="5"/>
  <c r="O19" i="5"/>
  <c r="T16" i="5"/>
  <c r="G15" i="5"/>
  <c r="S15" i="5"/>
  <c r="I19" i="5"/>
  <c r="N16" i="5"/>
  <c r="I16" i="4" s="1"/>
  <c r="H28" i="5"/>
  <c r="C28" i="4" s="1"/>
  <c r="U32" i="5"/>
  <c r="H38" i="5"/>
  <c r="C38" i="4" s="1"/>
  <c r="H11" i="5"/>
  <c r="C11" i="4" s="1"/>
  <c r="O15" i="5"/>
  <c r="D25" i="5"/>
  <c r="P25" i="5"/>
  <c r="Q25" i="5" s="1"/>
  <c r="Q19" i="5"/>
  <c r="O28" i="5"/>
  <c r="T26" i="5"/>
  <c r="L51" i="5"/>
  <c r="J51" i="5"/>
  <c r="I28" i="5"/>
  <c r="N26" i="5"/>
  <c r="I26" i="4" s="1"/>
  <c r="H24" i="5"/>
  <c r="C24" i="4" s="1"/>
  <c r="P39" i="5"/>
  <c r="N42" i="5"/>
  <c r="D44" i="5"/>
  <c r="D50" i="5" s="1"/>
  <c r="D51" i="5" s="1"/>
  <c r="H44" i="5"/>
  <c r="C44" i="4" s="1"/>
  <c r="F50" i="5"/>
  <c r="R50" i="5"/>
  <c r="G33" i="5"/>
  <c r="S33" i="5"/>
  <c r="T44" i="5" l="1"/>
  <c r="O44" i="4" s="1"/>
  <c r="O40" i="4"/>
  <c r="N11" i="5"/>
  <c r="I11" i="4" s="1"/>
  <c r="I7" i="4"/>
  <c r="T33" i="5"/>
  <c r="O33" i="4" s="1"/>
  <c r="O29" i="4"/>
  <c r="T28" i="5"/>
  <c r="O28" i="4" s="1"/>
  <c r="O26" i="4"/>
  <c r="T38" i="5"/>
  <c r="O38" i="4" s="1"/>
  <c r="O34" i="4"/>
  <c r="T49" i="5"/>
  <c r="O49" i="4" s="1"/>
  <c r="O45" i="4"/>
  <c r="N33" i="5"/>
  <c r="I33" i="4" s="1"/>
  <c r="I29" i="4"/>
  <c r="U42" i="5"/>
  <c r="I42" i="4"/>
  <c r="N38" i="5"/>
  <c r="I38" i="4" s="1"/>
  <c r="I34" i="4"/>
  <c r="N49" i="5"/>
  <c r="I49" i="4" s="1"/>
  <c r="I45" i="4"/>
  <c r="T19" i="5"/>
  <c r="O19" i="4" s="1"/>
  <c r="O16" i="4"/>
  <c r="T24" i="5"/>
  <c r="O24" i="4" s="1"/>
  <c r="O20" i="4"/>
  <c r="T11" i="5"/>
  <c r="O11" i="4" s="1"/>
  <c r="O7" i="4"/>
  <c r="M39" i="5"/>
  <c r="O39" i="5"/>
  <c r="I39" i="5"/>
  <c r="M50" i="5"/>
  <c r="M25" i="5"/>
  <c r="E39" i="5"/>
  <c r="E50" i="5"/>
  <c r="K50" i="5"/>
  <c r="E25" i="5"/>
  <c r="U29" i="5"/>
  <c r="U33" i="5" s="1"/>
  <c r="I25" i="5"/>
  <c r="K25" i="5"/>
  <c r="K39" i="5"/>
  <c r="U20" i="5"/>
  <c r="U24" i="5" s="1"/>
  <c r="H50" i="5"/>
  <c r="C50" i="4" s="1"/>
  <c r="H25" i="5"/>
  <c r="C25" i="4" s="1"/>
  <c r="N44" i="5"/>
  <c r="U7" i="5"/>
  <c r="U11" i="5" s="1"/>
  <c r="O25" i="5"/>
  <c r="O51" i="5" s="1"/>
  <c r="U45" i="5"/>
  <c r="U49" i="5" s="1"/>
  <c r="U34" i="5"/>
  <c r="U38" i="5" s="1"/>
  <c r="N24" i="5"/>
  <c r="I24" i="4" s="1"/>
  <c r="U40" i="5"/>
  <c r="H39" i="5"/>
  <c r="C39" i="4" s="1"/>
  <c r="P51" i="5"/>
  <c r="Q51" i="5" s="1"/>
  <c r="Q39" i="5"/>
  <c r="R51" i="5"/>
  <c r="S51" i="5" s="1"/>
  <c r="S50" i="5"/>
  <c r="N28" i="5"/>
  <c r="U26" i="5"/>
  <c r="U28" i="5" s="1"/>
  <c r="F51" i="5"/>
  <c r="G51" i="5" s="1"/>
  <c r="G50" i="5"/>
  <c r="N19" i="5"/>
  <c r="I19" i="4" s="1"/>
  <c r="U16" i="5"/>
  <c r="U19" i="5" s="1"/>
  <c r="T25" i="5" l="1"/>
  <c r="O25" i="4" s="1"/>
  <c r="U44" i="5"/>
  <c r="U50" i="5" s="1"/>
  <c r="T50" i="5"/>
  <c r="O50" i="4" s="1"/>
  <c r="T39" i="5"/>
  <c r="O39" i="4" s="1"/>
  <c r="N39" i="5"/>
  <c r="I39" i="4" s="1"/>
  <c r="I28" i="4"/>
  <c r="N50" i="5"/>
  <c r="I50" i="4" s="1"/>
  <c r="I44" i="4"/>
  <c r="M51" i="5"/>
  <c r="I51" i="5"/>
  <c r="K51" i="5"/>
  <c r="E51" i="5"/>
  <c r="U39" i="5"/>
  <c r="U25" i="5"/>
  <c r="H51" i="5"/>
  <c r="C51" i="4" s="1"/>
  <c r="N25" i="5"/>
  <c r="H56" i="5"/>
  <c r="T51" i="5" l="1"/>
  <c r="O51" i="4" s="1"/>
  <c r="N51" i="5"/>
  <c r="I51" i="4" s="1"/>
  <c r="I25" i="4"/>
  <c r="H57" i="5"/>
  <c r="U51" i="5"/>
  <c r="L59" i="5"/>
  <c r="J59" i="5"/>
  <c r="N58" i="5"/>
  <c r="H58" i="5" l="1"/>
  <c r="J9" i="4"/>
  <c r="J7" i="4"/>
  <c r="J11" i="4" s="1"/>
  <c r="J25" i="4" s="1"/>
  <c r="J51" i="4" s="1"/>
  <c r="T8" i="4"/>
  <c r="O8" i="7" s="1"/>
  <c r="T8" i="7" s="1"/>
  <c r="T9" i="4"/>
  <c r="T10" i="4"/>
  <c r="O10" i="7" s="1"/>
  <c r="T10" i="7" s="1"/>
  <c r="T12" i="4"/>
  <c r="T13" i="4"/>
  <c r="O13" i="7" s="1"/>
  <c r="T13" i="7" s="1"/>
  <c r="T14" i="4"/>
  <c r="O14" i="7" s="1"/>
  <c r="T14" i="7" s="1"/>
  <c r="O14" i="8" s="1"/>
  <c r="T16" i="4"/>
  <c r="T17" i="4"/>
  <c r="O17" i="7" s="1"/>
  <c r="T17" i="7" s="1"/>
  <c r="T18" i="4"/>
  <c r="O18" i="7" s="1"/>
  <c r="T18" i="7" s="1"/>
  <c r="T20" i="4"/>
  <c r="T21" i="4"/>
  <c r="O21" i="7" s="1"/>
  <c r="T21" i="7" s="1"/>
  <c r="T22" i="4"/>
  <c r="O22" i="7" s="1"/>
  <c r="T22" i="7" s="1"/>
  <c r="T23" i="4"/>
  <c r="O23" i="7" s="1"/>
  <c r="T23" i="7" s="1"/>
  <c r="T26" i="4"/>
  <c r="T27" i="4"/>
  <c r="O27" i="7" s="1"/>
  <c r="T27" i="7" s="1"/>
  <c r="O27" i="8" s="1"/>
  <c r="T29" i="4"/>
  <c r="O29" i="7" s="1"/>
  <c r="T29" i="7" s="1"/>
  <c r="O29" i="8" s="1"/>
  <c r="T30" i="4"/>
  <c r="T31" i="4"/>
  <c r="O31" i="7" s="1"/>
  <c r="T31" i="7" s="1"/>
  <c r="T32" i="4"/>
  <c r="O32" i="7" s="1"/>
  <c r="T32" i="7" s="1"/>
  <c r="T34" i="4"/>
  <c r="T35" i="4"/>
  <c r="O35" i="7" s="1"/>
  <c r="T35" i="7" s="1"/>
  <c r="T36" i="4"/>
  <c r="O36" i="7" s="1"/>
  <c r="T36" i="7" s="1"/>
  <c r="T37" i="4"/>
  <c r="O37" i="7" s="1"/>
  <c r="T37" i="7" s="1"/>
  <c r="T40" i="4"/>
  <c r="T41" i="4"/>
  <c r="O41" i="7" s="1"/>
  <c r="T41" i="7" s="1"/>
  <c r="T42" i="4"/>
  <c r="O42" i="7" s="1"/>
  <c r="T42" i="7" s="1"/>
  <c r="T43" i="4"/>
  <c r="O43" i="7" s="1"/>
  <c r="T43" i="7" s="1"/>
  <c r="T45" i="4"/>
  <c r="T46" i="4"/>
  <c r="O46" i="7" s="1"/>
  <c r="T46" i="7" s="1"/>
  <c r="T47" i="4"/>
  <c r="O47" i="7" s="1"/>
  <c r="T47" i="7" s="1"/>
  <c r="T48" i="4"/>
  <c r="O48" i="7" s="1"/>
  <c r="T48" i="7" s="1"/>
  <c r="S8" i="4"/>
  <c r="S8" i="7" s="1"/>
  <c r="S8" i="8" s="1"/>
  <c r="S8" i="9" s="1"/>
  <c r="S8" i="10" s="1"/>
  <c r="S8" i="11" s="1"/>
  <c r="S8" i="12" s="1"/>
  <c r="S8" i="13" s="1"/>
  <c r="S8" i="15" s="1"/>
  <c r="S8" i="17" s="1"/>
  <c r="S9" i="4"/>
  <c r="S9" i="7" s="1"/>
  <c r="S9" i="8" s="1"/>
  <c r="S9" i="9" s="1"/>
  <c r="S9" i="10" s="1"/>
  <c r="S9" i="11" s="1"/>
  <c r="S9" i="12" s="1"/>
  <c r="S9" i="13" s="1"/>
  <c r="S9" i="15" s="1"/>
  <c r="S9" i="17" s="1"/>
  <c r="S10" i="4"/>
  <c r="S10" i="7" s="1"/>
  <c r="S10" i="8" s="1"/>
  <c r="S10" i="9" s="1"/>
  <c r="S10" i="10" s="1"/>
  <c r="S10" i="11" s="1"/>
  <c r="S10" i="12" s="1"/>
  <c r="S10" i="13" s="1"/>
  <c r="S10" i="15" s="1"/>
  <c r="S10" i="17" s="1"/>
  <c r="S12" i="4"/>
  <c r="S13" i="4"/>
  <c r="S13" i="7" s="1"/>
  <c r="S13" i="8" s="1"/>
  <c r="S13" i="9" s="1"/>
  <c r="S13" i="10" s="1"/>
  <c r="S13" i="11" s="1"/>
  <c r="S13" i="12" s="1"/>
  <c r="S13" i="13" s="1"/>
  <c r="S13" i="15" s="1"/>
  <c r="S13" i="17" s="1"/>
  <c r="S14" i="4"/>
  <c r="S14" i="7" s="1"/>
  <c r="S14" i="8" s="1"/>
  <c r="S14" i="9" s="1"/>
  <c r="S14" i="10" s="1"/>
  <c r="S14" i="11" s="1"/>
  <c r="S14" i="12" s="1"/>
  <c r="S14" i="13" s="1"/>
  <c r="S14" i="15" s="1"/>
  <c r="S14" i="17" s="1"/>
  <c r="S16" i="4"/>
  <c r="S17" i="4"/>
  <c r="S17" i="7" s="1"/>
  <c r="S17" i="8" s="1"/>
  <c r="S17" i="9" s="1"/>
  <c r="S17" i="10" s="1"/>
  <c r="S17" i="11" s="1"/>
  <c r="S17" i="12" s="1"/>
  <c r="S17" i="13" s="1"/>
  <c r="S17" i="15" s="1"/>
  <c r="S17" i="17" s="1"/>
  <c r="S18" i="4"/>
  <c r="S18" i="7" s="1"/>
  <c r="S20" i="4"/>
  <c r="S21" i="4"/>
  <c r="S21" i="7" s="1"/>
  <c r="S21" i="8" s="1"/>
  <c r="S21" i="9" s="1"/>
  <c r="S21" i="10" s="1"/>
  <c r="S21" i="11" s="1"/>
  <c r="S21" i="12" s="1"/>
  <c r="S21" i="13" s="1"/>
  <c r="S21" i="15" s="1"/>
  <c r="S21" i="17" s="1"/>
  <c r="S22" i="4"/>
  <c r="S22" i="7" s="1"/>
  <c r="S22" i="8" s="1"/>
  <c r="S22" i="9" s="1"/>
  <c r="S22" i="10" s="1"/>
  <c r="S22" i="11" s="1"/>
  <c r="S22" i="12" s="1"/>
  <c r="S22" i="13" s="1"/>
  <c r="S22" i="15" s="1"/>
  <c r="S22" i="17" s="1"/>
  <c r="S23" i="4"/>
  <c r="S23" i="7" s="1"/>
  <c r="S23" i="8" s="1"/>
  <c r="S23" i="9" s="1"/>
  <c r="S23" i="10" s="1"/>
  <c r="S23" i="11" s="1"/>
  <c r="S23" i="12" s="1"/>
  <c r="S23" i="13" s="1"/>
  <c r="S23" i="15" s="1"/>
  <c r="S23" i="17" s="1"/>
  <c r="S26" i="4"/>
  <c r="S27" i="4"/>
  <c r="S27" i="7" s="1"/>
  <c r="S27" i="8" s="1"/>
  <c r="S27" i="9" s="1"/>
  <c r="S27" i="10" s="1"/>
  <c r="S27" i="11" s="1"/>
  <c r="S27" i="12" s="1"/>
  <c r="S27" i="13" s="1"/>
  <c r="S27" i="15" s="1"/>
  <c r="S27" i="17" s="1"/>
  <c r="S29" i="4"/>
  <c r="S30" i="4"/>
  <c r="S30" i="7" s="1"/>
  <c r="S30" i="8" s="1"/>
  <c r="S30" i="9" s="1"/>
  <c r="S30" i="10" s="1"/>
  <c r="S30" i="11" s="1"/>
  <c r="S30" i="12" s="1"/>
  <c r="S30" i="13" s="1"/>
  <c r="S30" i="15" s="1"/>
  <c r="S30" i="17" s="1"/>
  <c r="S31" i="4"/>
  <c r="S31" i="7" s="1"/>
  <c r="S31" i="8" s="1"/>
  <c r="S31" i="9" s="1"/>
  <c r="S31" i="10" s="1"/>
  <c r="S31" i="11" s="1"/>
  <c r="S31" i="12" s="1"/>
  <c r="S31" i="13" s="1"/>
  <c r="S31" i="15" s="1"/>
  <c r="S31" i="17" s="1"/>
  <c r="S32" i="4"/>
  <c r="S32" i="7" s="1"/>
  <c r="S32" i="8" s="1"/>
  <c r="S32" i="9" s="1"/>
  <c r="S32" i="10" s="1"/>
  <c r="S32" i="11" s="1"/>
  <c r="S32" i="12" s="1"/>
  <c r="S32" i="13" s="1"/>
  <c r="S32" i="15" s="1"/>
  <c r="S32" i="17" s="1"/>
  <c r="S34" i="4"/>
  <c r="S35" i="4"/>
  <c r="S35" i="7" s="1"/>
  <c r="S35" i="8" s="1"/>
  <c r="S35" i="9" s="1"/>
  <c r="S35" i="10" s="1"/>
  <c r="S35" i="11" s="1"/>
  <c r="S35" i="12" s="1"/>
  <c r="S35" i="13" s="1"/>
  <c r="S35" i="15" s="1"/>
  <c r="S35" i="17" s="1"/>
  <c r="S36" i="4"/>
  <c r="S36" i="7" s="1"/>
  <c r="S36" i="8" s="1"/>
  <c r="S36" i="9" s="1"/>
  <c r="S36" i="10" s="1"/>
  <c r="S36" i="11" s="1"/>
  <c r="S36" i="12" s="1"/>
  <c r="S36" i="13" s="1"/>
  <c r="S36" i="15" s="1"/>
  <c r="S36" i="17" s="1"/>
  <c r="S37" i="4"/>
  <c r="S37" i="7" s="1"/>
  <c r="S37" i="8" s="1"/>
  <c r="S37" i="9" s="1"/>
  <c r="S37" i="10" s="1"/>
  <c r="S37" i="11" s="1"/>
  <c r="S37" i="12" s="1"/>
  <c r="S37" i="13" s="1"/>
  <c r="S37" i="15" s="1"/>
  <c r="S37" i="17" s="1"/>
  <c r="S40" i="4"/>
  <c r="S41" i="4"/>
  <c r="S41" i="7" s="1"/>
  <c r="S41" i="8" s="1"/>
  <c r="S41" i="9" s="1"/>
  <c r="S41" i="10" s="1"/>
  <c r="S41" i="11" s="1"/>
  <c r="S41" i="12" s="1"/>
  <c r="S41" i="13" s="1"/>
  <c r="S41" i="15" s="1"/>
  <c r="S41" i="17" s="1"/>
  <c r="S42" i="4"/>
  <c r="S42" i="7" s="1"/>
  <c r="S42" i="8" s="1"/>
  <c r="S42" i="9" s="1"/>
  <c r="S42" i="10" s="1"/>
  <c r="S42" i="11" s="1"/>
  <c r="S42" i="12" s="1"/>
  <c r="S42" i="13" s="1"/>
  <c r="S42" i="15" s="1"/>
  <c r="S42" i="17" s="1"/>
  <c r="S43" i="4"/>
  <c r="S43" i="7" s="1"/>
  <c r="S43" i="8" s="1"/>
  <c r="S43" i="9" s="1"/>
  <c r="S43" i="10" s="1"/>
  <c r="S43" i="11" s="1"/>
  <c r="S43" i="12" s="1"/>
  <c r="S43" i="13" s="1"/>
  <c r="S43" i="15" s="1"/>
  <c r="S43" i="17" s="1"/>
  <c r="S45" i="4"/>
  <c r="S46" i="4"/>
  <c r="S46" i="7" s="1"/>
  <c r="S46" i="8" s="1"/>
  <c r="S46" i="9" s="1"/>
  <c r="S46" i="10" s="1"/>
  <c r="S46" i="11" s="1"/>
  <c r="S46" i="12" s="1"/>
  <c r="S46" i="13" s="1"/>
  <c r="S46" i="15" s="1"/>
  <c r="S46" i="17" s="1"/>
  <c r="S47" i="4"/>
  <c r="S47" i="7" s="1"/>
  <c r="S47" i="8" s="1"/>
  <c r="S47" i="9" s="1"/>
  <c r="S47" i="10" s="1"/>
  <c r="S47" i="11" s="1"/>
  <c r="S47" i="12" s="1"/>
  <c r="S47" i="13" s="1"/>
  <c r="S47" i="15" s="1"/>
  <c r="S47" i="17" s="1"/>
  <c r="S48" i="4"/>
  <c r="S48" i="7" s="1"/>
  <c r="S48" i="8" s="1"/>
  <c r="S48" i="9" s="1"/>
  <c r="S48" i="10" s="1"/>
  <c r="S48" i="11" s="1"/>
  <c r="S48" i="12" s="1"/>
  <c r="S48" i="13" s="1"/>
  <c r="S48" i="15" s="1"/>
  <c r="S48" i="17" s="1"/>
  <c r="S52" i="4"/>
  <c r="S53" i="4"/>
  <c r="Q8" i="4"/>
  <c r="Q8" i="7" s="1"/>
  <c r="Q8" i="8" s="1"/>
  <c r="Q8" i="9" s="1"/>
  <c r="Q8" i="10" s="1"/>
  <c r="Q8" i="11" s="1"/>
  <c r="Q8" i="12" s="1"/>
  <c r="Q8" i="13" s="1"/>
  <c r="Q8" i="15" s="1"/>
  <c r="Q8" i="17" s="1"/>
  <c r="Q9" i="4"/>
  <c r="Q10" i="4"/>
  <c r="Q10" i="7" s="1"/>
  <c r="Q10" i="8" s="1"/>
  <c r="Q10" i="9" s="1"/>
  <c r="Q10" i="10" s="1"/>
  <c r="Q10" i="11" s="1"/>
  <c r="Q10" i="12" s="1"/>
  <c r="Q10" i="13" s="1"/>
  <c r="Q10" i="15" s="1"/>
  <c r="Q10" i="17" s="1"/>
  <c r="Q12" i="4"/>
  <c r="Q13" i="4"/>
  <c r="Q13" i="7" s="1"/>
  <c r="Q13" i="8" s="1"/>
  <c r="Q13" i="9" s="1"/>
  <c r="Q13" i="10" s="1"/>
  <c r="Q13" i="11" s="1"/>
  <c r="Q13" i="12" s="1"/>
  <c r="Q13" i="13" s="1"/>
  <c r="Q13" i="15" s="1"/>
  <c r="Q13" i="17" s="1"/>
  <c r="Q14" i="4"/>
  <c r="Q14" i="7" s="1"/>
  <c r="Q14" i="8" s="1"/>
  <c r="Q14" i="9" s="1"/>
  <c r="Q16" i="4"/>
  <c r="Q17" i="4"/>
  <c r="Q17" i="7" s="1"/>
  <c r="Q17" i="8" s="1"/>
  <c r="Q17" i="9" s="1"/>
  <c r="Q17" i="10" s="1"/>
  <c r="Q17" i="11" s="1"/>
  <c r="Q17" i="12" s="1"/>
  <c r="Q17" i="13" s="1"/>
  <c r="Q17" i="15" s="1"/>
  <c r="Q17" i="17" s="1"/>
  <c r="Q18" i="4"/>
  <c r="Q18" i="7" s="1"/>
  <c r="Q18" i="8" s="1"/>
  <c r="Q18" i="9" s="1"/>
  <c r="Q18" i="10" s="1"/>
  <c r="Q18" i="11" s="1"/>
  <c r="Q18" i="12" s="1"/>
  <c r="Q18" i="13" s="1"/>
  <c r="Q18" i="15" s="1"/>
  <c r="Q18" i="17" s="1"/>
  <c r="Q20" i="4"/>
  <c r="Q21" i="4"/>
  <c r="Q21" i="7" s="1"/>
  <c r="Q21" i="8" s="1"/>
  <c r="Q22" i="4"/>
  <c r="Q22" i="7" s="1"/>
  <c r="Q22" i="8" s="1"/>
  <c r="Q22" i="9" s="1"/>
  <c r="Q22" i="10" s="1"/>
  <c r="Q22" i="11" s="1"/>
  <c r="Q22" i="12" s="1"/>
  <c r="Q22" i="13" s="1"/>
  <c r="Q22" i="15" s="1"/>
  <c r="Q22" i="17" s="1"/>
  <c r="Q23" i="4"/>
  <c r="Q23" i="7" s="1"/>
  <c r="Q23" i="8" s="1"/>
  <c r="Q23" i="9" s="1"/>
  <c r="Q23" i="10" s="1"/>
  <c r="Q23" i="11" s="1"/>
  <c r="Q23" i="12" s="1"/>
  <c r="Q23" i="13" s="1"/>
  <c r="Q23" i="15" s="1"/>
  <c r="Q23" i="17" s="1"/>
  <c r="Q26" i="4"/>
  <c r="Q27" i="4"/>
  <c r="Q27" i="7" s="1"/>
  <c r="Q29" i="4"/>
  <c r="Q29" i="7" s="1"/>
  <c r="Q30" i="4"/>
  <c r="Q31" i="4"/>
  <c r="Q31" i="7" s="1"/>
  <c r="Q31" i="8" s="1"/>
  <c r="Q31" i="9" s="1"/>
  <c r="Q31" i="10" s="1"/>
  <c r="Q31" i="11" s="1"/>
  <c r="Q31" i="12" s="1"/>
  <c r="Q31" i="13" s="1"/>
  <c r="Q31" i="15" s="1"/>
  <c r="Q31" i="17" s="1"/>
  <c r="Q32" i="4"/>
  <c r="Q32" i="7" s="1"/>
  <c r="Q32" i="8" s="1"/>
  <c r="Q32" i="9" s="1"/>
  <c r="Q32" i="10" s="1"/>
  <c r="Q32" i="11" s="1"/>
  <c r="Q32" i="12" s="1"/>
  <c r="Q32" i="13" s="1"/>
  <c r="Q32" i="15" s="1"/>
  <c r="Q32" i="17" s="1"/>
  <c r="Q34" i="4"/>
  <c r="Q35" i="4"/>
  <c r="Q35" i="7" s="1"/>
  <c r="Q35" i="8" s="1"/>
  <c r="Q35" i="9" s="1"/>
  <c r="Q35" i="10" s="1"/>
  <c r="Q35" i="11" s="1"/>
  <c r="Q35" i="12" s="1"/>
  <c r="Q35" i="13" s="1"/>
  <c r="Q35" i="15" s="1"/>
  <c r="Q35" i="17" s="1"/>
  <c r="Q36" i="4"/>
  <c r="Q36" i="7" s="1"/>
  <c r="Q36" i="8" s="1"/>
  <c r="Q36" i="9" s="1"/>
  <c r="Q36" i="10" s="1"/>
  <c r="Q36" i="11" s="1"/>
  <c r="Q36" i="12" s="1"/>
  <c r="Q36" i="13" s="1"/>
  <c r="Q36" i="15" s="1"/>
  <c r="Q36" i="17" s="1"/>
  <c r="Q37" i="4"/>
  <c r="Q37" i="7" s="1"/>
  <c r="Q37" i="8" s="1"/>
  <c r="Q37" i="9" s="1"/>
  <c r="Q37" i="10" s="1"/>
  <c r="Q37" i="11" s="1"/>
  <c r="Q37" i="12" s="1"/>
  <c r="Q37" i="13" s="1"/>
  <c r="Q37" i="15" s="1"/>
  <c r="Q37" i="17" s="1"/>
  <c r="Q40" i="4"/>
  <c r="Q41" i="4"/>
  <c r="Q41" i="7" s="1"/>
  <c r="Q41" i="8" s="1"/>
  <c r="Q41" i="9" s="1"/>
  <c r="Q41" i="10" s="1"/>
  <c r="Q41" i="11" s="1"/>
  <c r="Q41" i="12" s="1"/>
  <c r="Q41" i="13" s="1"/>
  <c r="Q41" i="15" s="1"/>
  <c r="Q41" i="17" s="1"/>
  <c r="Q42" i="4"/>
  <c r="Q42" i="7" s="1"/>
  <c r="Q42" i="8" s="1"/>
  <c r="Q42" i="9" s="1"/>
  <c r="Q42" i="10" s="1"/>
  <c r="Q42" i="11" s="1"/>
  <c r="Q42" i="12" s="1"/>
  <c r="Q42" i="13" s="1"/>
  <c r="Q42" i="15" s="1"/>
  <c r="Q42" i="17" s="1"/>
  <c r="Q43" i="4"/>
  <c r="Q43" i="7" s="1"/>
  <c r="Q43" i="8" s="1"/>
  <c r="Q43" i="9" s="1"/>
  <c r="Q43" i="10" s="1"/>
  <c r="Q43" i="11" s="1"/>
  <c r="Q43" i="12" s="1"/>
  <c r="Q43" i="13" s="1"/>
  <c r="Q43" i="15" s="1"/>
  <c r="Q43" i="17" s="1"/>
  <c r="Q45" i="4"/>
  <c r="Q46" i="4"/>
  <c r="Q46" i="7" s="1"/>
  <c r="Q46" i="8" s="1"/>
  <c r="Q46" i="9" s="1"/>
  <c r="Q46" i="10" s="1"/>
  <c r="Q46" i="11" s="1"/>
  <c r="Q46" i="12" s="1"/>
  <c r="Q46" i="13" s="1"/>
  <c r="Q46" i="15" s="1"/>
  <c r="Q46" i="17" s="1"/>
  <c r="Q47" i="4"/>
  <c r="Q47" i="7" s="1"/>
  <c r="Q47" i="8" s="1"/>
  <c r="Q47" i="9" s="1"/>
  <c r="Q47" i="10" s="1"/>
  <c r="Q47" i="11" s="1"/>
  <c r="Q47" i="12" s="1"/>
  <c r="Q47" i="13" s="1"/>
  <c r="Q47" i="15" s="1"/>
  <c r="Q47" i="17" s="1"/>
  <c r="Q48" i="4"/>
  <c r="Q48" i="7" s="1"/>
  <c r="Q48" i="8" s="1"/>
  <c r="Q48" i="9" s="1"/>
  <c r="Q48" i="10" s="1"/>
  <c r="Q48" i="11" s="1"/>
  <c r="Q48" i="12" s="1"/>
  <c r="Q48" i="13" s="1"/>
  <c r="Q48" i="15" s="1"/>
  <c r="Q48" i="17" s="1"/>
  <c r="Q52" i="4"/>
  <c r="Q53" i="4"/>
  <c r="N8" i="4"/>
  <c r="N9" i="4"/>
  <c r="N10" i="4"/>
  <c r="N12" i="4"/>
  <c r="N13" i="4"/>
  <c r="N14" i="4"/>
  <c r="N16" i="4"/>
  <c r="N17" i="4"/>
  <c r="N18" i="4"/>
  <c r="N20" i="4"/>
  <c r="N21" i="4"/>
  <c r="N22" i="4"/>
  <c r="N23" i="4"/>
  <c r="N26" i="4"/>
  <c r="N27" i="4"/>
  <c r="N29" i="4"/>
  <c r="N30" i="4"/>
  <c r="N31" i="4"/>
  <c r="N32" i="4"/>
  <c r="N34" i="4"/>
  <c r="N35" i="4"/>
  <c r="N36" i="4"/>
  <c r="N37" i="4"/>
  <c r="N40" i="4"/>
  <c r="N41" i="4"/>
  <c r="N42" i="4"/>
  <c r="N43" i="4"/>
  <c r="N45" i="4"/>
  <c r="N46" i="4"/>
  <c r="N47" i="4"/>
  <c r="N48" i="4"/>
  <c r="M8" i="4"/>
  <c r="M8" i="7" s="1"/>
  <c r="M8" i="8" s="1"/>
  <c r="M8" i="9" s="1"/>
  <c r="M8" i="10" s="1"/>
  <c r="M8" i="11" s="1"/>
  <c r="M8" i="12" s="1"/>
  <c r="M8" i="13" s="1"/>
  <c r="M8" i="15" s="1"/>
  <c r="M8" i="17" s="1"/>
  <c r="M9" i="4"/>
  <c r="M9" i="7" s="1"/>
  <c r="M9" i="8" s="1"/>
  <c r="M9" i="9" s="1"/>
  <c r="M9" i="10" s="1"/>
  <c r="M9" i="11" s="1"/>
  <c r="M9" i="12" s="1"/>
  <c r="M9" i="13" s="1"/>
  <c r="M9" i="15" s="1"/>
  <c r="M9" i="17" s="1"/>
  <c r="M10" i="4"/>
  <c r="M10" i="7" s="1"/>
  <c r="M10" i="8" s="1"/>
  <c r="M10" i="9" s="1"/>
  <c r="M10" i="10" s="1"/>
  <c r="M10" i="11" s="1"/>
  <c r="M10" i="12" s="1"/>
  <c r="M10" i="13" s="1"/>
  <c r="M10" i="15" s="1"/>
  <c r="M10" i="17" s="1"/>
  <c r="M12" i="4"/>
  <c r="M13" i="4"/>
  <c r="M13" i="7" s="1"/>
  <c r="M13" i="8" s="1"/>
  <c r="M13" i="9" s="1"/>
  <c r="M13" i="10" s="1"/>
  <c r="M13" i="11" s="1"/>
  <c r="M13" i="12" s="1"/>
  <c r="M13" i="13" s="1"/>
  <c r="M13" i="15" s="1"/>
  <c r="M13" i="17" s="1"/>
  <c r="M14" i="4"/>
  <c r="M14" i="7" s="1"/>
  <c r="M14" i="8" s="1"/>
  <c r="M14" i="9" s="1"/>
  <c r="M14" i="10" s="1"/>
  <c r="M14" i="11" s="1"/>
  <c r="M14" i="12" s="1"/>
  <c r="M14" i="13" s="1"/>
  <c r="M14" i="15" s="1"/>
  <c r="M14" i="17" s="1"/>
  <c r="M16" i="4"/>
  <c r="M17" i="4"/>
  <c r="M17" i="7" s="1"/>
  <c r="M17" i="8" s="1"/>
  <c r="M17" i="9" s="1"/>
  <c r="M17" i="10" s="1"/>
  <c r="M17" i="11" s="1"/>
  <c r="M17" i="12" s="1"/>
  <c r="M17" i="13" s="1"/>
  <c r="M17" i="15" s="1"/>
  <c r="M17" i="17" s="1"/>
  <c r="M18" i="4"/>
  <c r="M18" i="7" s="1"/>
  <c r="M18" i="8" s="1"/>
  <c r="M18" i="9" s="1"/>
  <c r="M18" i="10" s="1"/>
  <c r="M18" i="11" s="1"/>
  <c r="M18" i="12" s="1"/>
  <c r="M20" i="4"/>
  <c r="M21" i="4"/>
  <c r="M21" i="7" s="1"/>
  <c r="M21" i="8" s="1"/>
  <c r="M21" i="9" s="1"/>
  <c r="M21" i="10" s="1"/>
  <c r="M21" i="11" s="1"/>
  <c r="M21" i="12" s="1"/>
  <c r="M21" i="13" s="1"/>
  <c r="M21" i="15" s="1"/>
  <c r="M21" i="17" s="1"/>
  <c r="M22" i="4"/>
  <c r="M22" i="7" s="1"/>
  <c r="M22" i="8" s="1"/>
  <c r="M22" i="9" s="1"/>
  <c r="M22" i="10" s="1"/>
  <c r="M22" i="11" s="1"/>
  <c r="M22" i="12" s="1"/>
  <c r="M22" i="13" s="1"/>
  <c r="M22" i="15" s="1"/>
  <c r="M22" i="17" s="1"/>
  <c r="M23" i="4"/>
  <c r="M23" i="7" s="1"/>
  <c r="M23" i="8" s="1"/>
  <c r="M23" i="9" s="1"/>
  <c r="M23" i="10" s="1"/>
  <c r="M23" i="11" s="1"/>
  <c r="M23" i="12" s="1"/>
  <c r="M23" i="13" s="1"/>
  <c r="M23" i="15" s="1"/>
  <c r="M23" i="17" s="1"/>
  <c r="M26" i="4"/>
  <c r="M27" i="4"/>
  <c r="M27" i="7" s="1"/>
  <c r="M27" i="8" s="1"/>
  <c r="M27" i="9" s="1"/>
  <c r="M27" i="10" s="1"/>
  <c r="M27" i="11" s="1"/>
  <c r="M27" i="12" s="1"/>
  <c r="M27" i="13" s="1"/>
  <c r="M27" i="15" s="1"/>
  <c r="M27" i="17" s="1"/>
  <c r="M29" i="4"/>
  <c r="M30" i="4"/>
  <c r="M30" i="7" s="1"/>
  <c r="M30" i="8" s="1"/>
  <c r="M30" i="9" s="1"/>
  <c r="M30" i="10" s="1"/>
  <c r="M30" i="11" s="1"/>
  <c r="M30" i="12" s="1"/>
  <c r="M30" i="13" s="1"/>
  <c r="M30" i="15" s="1"/>
  <c r="M30" i="17" s="1"/>
  <c r="M31" i="4"/>
  <c r="M31" i="7" s="1"/>
  <c r="M31" i="8" s="1"/>
  <c r="M31" i="9" s="1"/>
  <c r="M31" i="10" s="1"/>
  <c r="M31" i="11" s="1"/>
  <c r="M31" i="12" s="1"/>
  <c r="M31" i="13" s="1"/>
  <c r="M31" i="15" s="1"/>
  <c r="M31" i="17" s="1"/>
  <c r="M32" i="4"/>
  <c r="M32" i="7" s="1"/>
  <c r="M32" i="8" s="1"/>
  <c r="M32" i="9" s="1"/>
  <c r="M32" i="10" s="1"/>
  <c r="M32" i="11" s="1"/>
  <c r="M32" i="12" s="1"/>
  <c r="M32" i="13" s="1"/>
  <c r="M32" i="15" s="1"/>
  <c r="M32" i="17" s="1"/>
  <c r="M34" i="4"/>
  <c r="M35" i="4"/>
  <c r="M35" i="7" s="1"/>
  <c r="M35" i="8" s="1"/>
  <c r="M35" i="9" s="1"/>
  <c r="M35" i="10" s="1"/>
  <c r="M35" i="11" s="1"/>
  <c r="M35" i="12" s="1"/>
  <c r="M35" i="13" s="1"/>
  <c r="M35" i="15" s="1"/>
  <c r="M35" i="17" s="1"/>
  <c r="M36" i="4"/>
  <c r="M36" i="7" s="1"/>
  <c r="M36" i="8" s="1"/>
  <c r="M36" i="9" s="1"/>
  <c r="M36" i="10" s="1"/>
  <c r="M36" i="11" s="1"/>
  <c r="M36" i="12" s="1"/>
  <c r="M36" i="13" s="1"/>
  <c r="M36" i="15" s="1"/>
  <c r="M36" i="17" s="1"/>
  <c r="M37" i="4"/>
  <c r="M37" i="7" s="1"/>
  <c r="M37" i="8" s="1"/>
  <c r="M37" i="9" s="1"/>
  <c r="M37" i="10" s="1"/>
  <c r="M37" i="11" s="1"/>
  <c r="M37" i="12" s="1"/>
  <c r="M37" i="13" s="1"/>
  <c r="M37" i="15" s="1"/>
  <c r="M37" i="17" s="1"/>
  <c r="M40" i="4"/>
  <c r="M41" i="4"/>
  <c r="M41" i="7" s="1"/>
  <c r="M41" i="8" s="1"/>
  <c r="M41" i="9" s="1"/>
  <c r="M41" i="10" s="1"/>
  <c r="M41" i="11" s="1"/>
  <c r="M41" i="12" s="1"/>
  <c r="M41" i="13" s="1"/>
  <c r="M41" i="15" s="1"/>
  <c r="M41" i="17" s="1"/>
  <c r="M42" i="4"/>
  <c r="M42" i="7" s="1"/>
  <c r="M42" i="8" s="1"/>
  <c r="M42" i="9" s="1"/>
  <c r="M42" i="10" s="1"/>
  <c r="M42" i="11" s="1"/>
  <c r="M42" i="12" s="1"/>
  <c r="M42" i="13" s="1"/>
  <c r="M42" i="15" s="1"/>
  <c r="M42" i="17" s="1"/>
  <c r="M43" i="4"/>
  <c r="M43" i="7" s="1"/>
  <c r="M43" i="8" s="1"/>
  <c r="M43" i="9" s="1"/>
  <c r="M43" i="10" s="1"/>
  <c r="M43" i="11" s="1"/>
  <c r="M43" i="12" s="1"/>
  <c r="M43" i="13" s="1"/>
  <c r="M43" i="15" s="1"/>
  <c r="M43" i="17" s="1"/>
  <c r="M45" i="4"/>
  <c r="M46" i="4"/>
  <c r="M46" i="7" s="1"/>
  <c r="M46" i="8" s="1"/>
  <c r="M46" i="9" s="1"/>
  <c r="M46" i="10" s="1"/>
  <c r="M46" i="11" s="1"/>
  <c r="M46" i="12" s="1"/>
  <c r="M46" i="13" s="1"/>
  <c r="M46" i="15" s="1"/>
  <c r="M46" i="17" s="1"/>
  <c r="M47" i="4"/>
  <c r="M47" i="7" s="1"/>
  <c r="M47" i="8" s="1"/>
  <c r="M47" i="9" s="1"/>
  <c r="M47" i="10" s="1"/>
  <c r="M47" i="11" s="1"/>
  <c r="M47" i="12" s="1"/>
  <c r="M47" i="13" s="1"/>
  <c r="M47" i="15" s="1"/>
  <c r="M47" i="17" s="1"/>
  <c r="M48" i="4"/>
  <c r="M48" i="7" s="1"/>
  <c r="M48" i="8" s="1"/>
  <c r="M48" i="9" s="1"/>
  <c r="M48" i="10" s="1"/>
  <c r="M48" i="11" s="1"/>
  <c r="M48" i="12" s="1"/>
  <c r="M48" i="13" s="1"/>
  <c r="M48" i="15" s="1"/>
  <c r="M48" i="17" s="1"/>
  <c r="K8" i="4"/>
  <c r="K8" i="7" s="1"/>
  <c r="K8" i="8" s="1"/>
  <c r="K8" i="9" s="1"/>
  <c r="K8" i="10" s="1"/>
  <c r="K8" i="11" s="1"/>
  <c r="K8" i="12" s="1"/>
  <c r="K8" i="13" s="1"/>
  <c r="K8" i="15" s="1"/>
  <c r="K8" i="17" s="1"/>
  <c r="K9" i="4"/>
  <c r="K9" i="7" s="1"/>
  <c r="K9" i="8" s="1"/>
  <c r="K9" i="9" s="1"/>
  <c r="K9" i="10" s="1"/>
  <c r="K9" i="11" s="1"/>
  <c r="K9" i="12" s="1"/>
  <c r="K9" i="13" s="1"/>
  <c r="K9" i="15" s="1"/>
  <c r="K9" i="17" s="1"/>
  <c r="K10" i="4"/>
  <c r="K10" i="7" s="1"/>
  <c r="K10" i="8" s="1"/>
  <c r="K10" i="9" s="1"/>
  <c r="K10" i="10" s="1"/>
  <c r="K10" i="11" s="1"/>
  <c r="K10" i="12" s="1"/>
  <c r="K10" i="13" s="1"/>
  <c r="K10" i="15" s="1"/>
  <c r="K10" i="17" s="1"/>
  <c r="K12" i="4"/>
  <c r="K13" i="4"/>
  <c r="K13" i="7" s="1"/>
  <c r="K13" i="8" s="1"/>
  <c r="K13" i="9" s="1"/>
  <c r="K13" i="10" s="1"/>
  <c r="K13" i="11" s="1"/>
  <c r="K13" i="12" s="1"/>
  <c r="K13" i="13" s="1"/>
  <c r="K13" i="15" s="1"/>
  <c r="K13" i="17" s="1"/>
  <c r="K14" i="4"/>
  <c r="K14" i="7" s="1"/>
  <c r="K14" i="8" s="1"/>
  <c r="K14" i="9" s="1"/>
  <c r="K14" i="10" s="1"/>
  <c r="K14" i="11" s="1"/>
  <c r="K14" i="12" s="1"/>
  <c r="K14" i="13" s="1"/>
  <c r="K14" i="15" s="1"/>
  <c r="K14" i="17" s="1"/>
  <c r="K16" i="4"/>
  <c r="K17" i="4"/>
  <c r="K17" i="7" s="1"/>
  <c r="K17" i="8" s="1"/>
  <c r="K17" i="9" s="1"/>
  <c r="K17" i="10" s="1"/>
  <c r="K17" i="11" s="1"/>
  <c r="K17" i="12" s="1"/>
  <c r="K17" i="13" s="1"/>
  <c r="K17" i="15" s="1"/>
  <c r="K17" i="17" s="1"/>
  <c r="K18" i="4"/>
  <c r="K18" i="7" s="1"/>
  <c r="K18" i="8" s="1"/>
  <c r="K18" i="9" s="1"/>
  <c r="K18" i="10" s="1"/>
  <c r="K18" i="11" s="1"/>
  <c r="K20" i="4"/>
  <c r="K21" i="4"/>
  <c r="K21" i="7" s="1"/>
  <c r="K21" i="8" s="1"/>
  <c r="K21" i="9" s="1"/>
  <c r="K21" i="10" s="1"/>
  <c r="K22" i="4"/>
  <c r="K22" i="7" s="1"/>
  <c r="K22" i="8" s="1"/>
  <c r="K22" i="9" s="1"/>
  <c r="K22" i="10" s="1"/>
  <c r="K22" i="11" s="1"/>
  <c r="K22" i="12" s="1"/>
  <c r="K22" i="13" s="1"/>
  <c r="K22" i="15" s="1"/>
  <c r="K22" i="17" s="1"/>
  <c r="K23" i="4"/>
  <c r="K23" i="7" s="1"/>
  <c r="K23" i="8" s="1"/>
  <c r="K23" i="9" s="1"/>
  <c r="K23" i="10" s="1"/>
  <c r="K23" i="11" s="1"/>
  <c r="K23" i="12" s="1"/>
  <c r="K23" i="13" s="1"/>
  <c r="K23" i="15" s="1"/>
  <c r="K23" i="17" s="1"/>
  <c r="K26" i="4"/>
  <c r="K27" i="4"/>
  <c r="K27" i="7" s="1"/>
  <c r="K29" i="4"/>
  <c r="K30" i="4"/>
  <c r="K30" i="7" s="1"/>
  <c r="K30" i="8" s="1"/>
  <c r="K30" i="9" s="1"/>
  <c r="K30" i="10" s="1"/>
  <c r="K30" i="11" s="1"/>
  <c r="K30" i="12" s="1"/>
  <c r="K30" i="13" s="1"/>
  <c r="K30" i="15" s="1"/>
  <c r="K30" i="17" s="1"/>
  <c r="K31" i="4"/>
  <c r="K31" i="7" s="1"/>
  <c r="K31" i="8" s="1"/>
  <c r="K31" i="9" s="1"/>
  <c r="K31" i="10" s="1"/>
  <c r="K31" i="11" s="1"/>
  <c r="K31" i="12" s="1"/>
  <c r="K31" i="13" s="1"/>
  <c r="K31" i="15" s="1"/>
  <c r="K31" i="17" s="1"/>
  <c r="K32" i="4"/>
  <c r="K32" i="7" s="1"/>
  <c r="K34" i="4"/>
  <c r="K35" i="4"/>
  <c r="K35" i="7" s="1"/>
  <c r="K35" i="8" s="1"/>
  <c r="K35" i="9" s="1"/>
  <c r="K35" i="10" s="1"/>
  <c r="K35" i="11" s="1"/>
  <c r="K35" i="12" s="1"/>
  <c r="K35" i="13" s="1"/>
  <c r="K35" i="15" s="1"/>
  <c r="K35" i="17" s="1"/>
  <c r="K36" i="4"/>
  <c r="K36" i="7" s="1"/>
  <c r="K36" i="8" s="1"/>
  <c r="K36" i="9" s="1"/>
  <c r="K36" i="10" s="1"/>
  <c r="K36" i="11" s="1"/>
  <c r="K36" i="12" s="1"/>
  <c r="K36" i="13" s="1"/>
  <c r="K36" i="15" s="1"/>
  <c r="K36" i="17" s="1"/>
  <c r="K37" i="4"/>
  <c r="K37" i="7" s="1"/>
  <c r="K37" i="8" s="1"/>
  <c r="K37" i="9" s="1"/>
  <c r="K37" i="10" s="1"/>
  <c r="K37" i="11" s="1"/>
  <c r="K37" i="12" s="1"/>
  <c r="K37" i="13" s="1"/>
  <c r="K37" i="15" s="1"/>
  <c r="K37" i="17" s="1"/>
  <c r="K40" i="4"/>
  <c r="K41" i="4"/>
  <c r="K41" i="7" s="1"/>
  <c r="K41" i="8" s="1"/>
  <c r="K41" i="9" s="1"/>
  <c r="K41" i="10" s="1"/>
  <c r="K41" i="11" s="1"/>
  <c r="K41" i="12" s="1"/>
  <c r="K41" i="13" s="1"/>
  <c r="K41" i="15" s="1"/>
  <c r="K41" i="17" s="1"/>
  <c r="K42" i="4"/>
  <c r="K42" i="7" s="1"/>
  <c r="K42" i="8" s="1"/>
  <c r="K42" i="9" s="1"/>
  <c r="K42" i="10" s="1"/>
  <c r="K42" i="11" s="1"/>
  <c r="K42" i="12" s="1"/>
  <c r="K42" i="13" s="1"/>
  <c r="K42" i="15" s="1"/>
  <c r="K42" i="17" s="1"/>
  <c r="K43" i="4"/>
  <c r="K43" i="7" s="1"/>
  <c r="K43" i="8" s="1"/>
  <c r="K43" i="9" s="1"/>
  <c r="K43" i="10" s="1"/>
  <c r="K43" i="11" s="1"/>
  <c r="K43" i="12" s="1"/>
  <c r="K43" i="13" s="1"/>
  <c r="K43" i="15" s="1"/>
  <c r="K43" i="17" s="1"/>
  <c r="K45" i="4"/>
  <c r="K46" i="4"/>
  <c r="K46" i="7" s="1"/>
  <c r="K46" i="8" s="1"/>
  <c r="K46" i="9" s="1"/>
  <c r="K46" i="10" s="1"/>
  <c r="K46" i="11" s="1"/>
  <c r="K46" i="12" s="1"/>
  <c r="K46" i="13" s="1"/>
  <c r="K46" i="15" s="1"/>
  <c r="K46" i="17" s="1"/>
  <c r="K47" i="4"/>
  <c r="K47" i="7" s="1"/>
  <c r="K47" i="8" s="1"/>
  <c r="K47" i="9" s="1"/>
  <c r="K47" i="10" s="1"/>
  <c r="K47" i="11" s="1"/>
  <c r="K47" i="12" s="1"/>
  <c r="K47" i="13" s="1"/>
  <c r="K47" i="15" s="1"/>
  <c r="K47" i="17" s="1"/>
  <c r="K48" i="4"/>
  <c r="K48" i="7" s="1"/>
  <c r="K48" i="8" s="1"/>
  <c r="K48" i="9" s="1"/>
  <c r="K48" i="10" s="1"/>
  <c r="K48" i="11" s="1"/>
  <c r="K48" i="12" s="1"/>
  <c r="K48" i="13" s="1"/>
  <c r="K48" i="15" s="1"/>
  <c r="K48" i="17" s="1"/>
  <c r="K52" i="4"/>
  <c r="K53" i="4"/>
  <c r="H8" i="4"/>
  <c r="C8" i="7" s="1"/>
  <c r="H8" i="7" s="1"/>
  <c r="C8" i="8" s="1"/>
  <c r="H9" i="4"/>
  <c r="C9" i="7" s="1"/>
  <c r="H9" i="7" s="1"/>
  <c r="C9" i="8" s="1"/>
  <c r="H10" i="4"/>
  <c r="H12" i="4"/>
  <c r="H13" i="4"/>
  <c r="C13" i="7" s="1"/>
  <c r="H13" i="7" s="1"/>
  <c r="C13" i="8" s="1"/>
  <c r="H14" i="4"/>
  <c r="C14" i="7" s="1"/>
  <c r="H14" i="7" s="1"/>
  <c r="C14" i="8" s="1"/>
  <c r="H16" i="4"/>
  <c r="H17" i="4"/>
  <c r="C17" i="7" s="1"/>
  <c r="H17" i="7" s="1"/>
  <c r="C17" i="8" s="1"/>
  <c r="H18" i="4"/>
  <c r="C18" i="7" s="1"/>
  <c r="H18" i="7" s="1"/>
  <c r="C18" i="8" s="1"/>
  <c r="H20" i="4"/>
  <c r="H21" i="4"/>
  <c r="C21" i="7" s="1"/>
  <c r="H21" i="7" s="1"/>
  <c r="C21" i="8" s="1"/>
  <c r="H22" i="4"/>
  <c r="C22" i="7" s="1"/>
  <c r="H22" i="7" s="1"/>
  <c r="C22" i="8" s="1"/>
  <c r="H23" i="4"/>
  <c r="C23" i="7" s="1"/>
  <c r="H23" i="7" s="1"/>
  <c r="C23" i="8" s="1"/>
  <c r="H26" i="4"/>
  <c r="H27" i="4"/>
  <c r="H29" i="4"/>
  <c r="H30" i="4"/>
  <c r="C30" i="7" s="1"/>
  <c r="H30" i="7" s="1"/>
  <c r="C30" i="8" s="1"/>
  <c r="H31" i="4"/>
  <c r="C31" i="7" s="1"/>
  <c r="H31" i="7" s="1"/>
  <c r="C31" i="8" s="1"/>
  <c r="H32" i="4"/>
  <c r="C32" i="7" s="1"/>
  <c r="H32" i="7" s="1"/>
  <c r="C32" i="8" s="1"/>
  <c r="H34" i="4"/>
  <c r="H35" i="4"/>
  <c r="C35" i="7" s="1"/>
  <c r="H35" i="7" s="1"/>
  <c r="C35" i="8" s="1"/>
  <c r="H36" i="4"/>
  <c r="H37" i="4"/>
  <c r="H40" i="4"/>
  <c r="C40" i="7" s="1"/>
  <c r="H40" i="7" s="1"/>
  <c r="C40" i="8" s="1"/>
  <c r="H41" i="4"/>
  <c r="C41" i="7" s="1"/>
  <c r="H41" i="7" s="1"/>
  <c r="C41" i="8" s="1"/>
  <c r="H42" i="4"/>
  <c r="H43" i="4"/>
  <c r="H45" i="4"/>
  <c r="H46" i="4"/>
  <c r="C46" i="7" s="1"/>
  <c r="H46" i="7" s="1"/>
  <c r="C46" i="8" s="1"/>
  <c r="H47" i="4"/>
  <c r="C47" i="7" s="1"/>
  <c r="H47" i="7" s="1"/>
  <c r="C47" i="8" s="1"/>
  <c r="H48" i="4"/>
  <c r="G8" i="4"/>
  <c r="G8" i="7" s="1"/>
  <c r="G8" i="8" s="1"/>
  <c r="G8" i="9" s="1"/>
  <c r="G8" i="10" s="1"/>
  <c r="G8" i="11" s="1"/>
  <c r="G8" i="12" s="1"/>
  <c r="G8" i="13" s="1"/>
  <c r="G8" i="15" s="1"/>
  <c r="G8" i="17" s="1"/>
  <c r="G9" i="4"/>
  <c r="G9" i="7" s="1"/>
  <c r="G9" i="8" s="1"/>
  <c r="G9" i="9" s="1"/>
  <c r="G9" i="10" s="1"/>
  <c r="G9" i="11" s="1"/>
  <c r="G9" i="12" s="1"/>
  <c r="G9" i="13" s="1"/>
  <c r="G9" i="15" s="1"/>
  <c r="G9" i="17" s="1"/>
  <c r="G10" i="4"/>
  <c r="G10" i="7" s="1"/>
  <c r="G10" i="8" s="1"/>
  <c r="G10" i="9" s="1"/>
  <c r="G10" i="10" s="1"/>
  <c r="G10" i="11" s="1"/>
  <c r="G10" i="12" s="1"/>
  <c r="G10" i="13" s="1"/>
  <c r="G10" i="15" s="1"/>
  <c r="G10" i="17" s="1"/>
  <c r="G12" i="4"/>
  <c r="G13" i="4"/>
  <c r="G13" i="7" s="1"/>
  <c r="G13" i="8" s="1"/>
  <c r="G13" i="9" s="1"/>
  <c r="G13" i="10" s="1"/>
  <c r="G13" i="11" s="1"/>
  <c r="G13" i="12" s="1"/>
  <c r="G13" i="13" s="1"/>
  <c r="G13" i="15" s="1"/>
  <c r="G13" i="17" s="1"/>
  <c r="G14" i="4"/>
  <c r="G14" i="7" s="1"/>
  <c r="G14" i="8" s="1"/>
  <c r="G14" i="9" s="1"/>
  <c r="G14" i="10" s="1"/>
  <c r="G14" i="11" s="1"/>
  <c r="G14" i="12" s="1"/>
  <c r="G14" i="13" s="1"/>
  <c r="G14" i="15" s="1"/>
  <c r="G14" i="17" s="1"/>
  <c r="G16" i="4"/>
  <c r="G17" i="4"/>
  <c r="G17" i="7" s="1"/>
  <c r="G18" i="4"/>
  <c r="G18" i="7" s="1"/>
  <c r="G18" i="8" s="1"/>
  <c r="G18" i="9" s="1"/>
  <c r="G18" i="10" s="1"/>
  <c r="G18" i="11" s="1"/>
  <c r="G18" i="12" s="1"/>
  <c r="G18" i="13" s="1"/>
  <c r="G18" i="15" s="1"/>
  <c r="G18" i="17" s="1"/>
  <c r="G20" i="4"/>
  <c r="G21" i="4"/>
  <c r="G21" i="7" s="1"/>
  <c r="G21" i="8" s="1"/>
  <c r="G21" i="9" s="1"/>
  <c r="G22" i="4"/>
  <c r="G22" i="7" s="1"/>
  <c r="G22" i="8" s="1"/>
  <c r="G22" i="9" s="1"/>
  <c r="G22" i="10" s="1"/>
  <c r="G22" i="11" s="1"/>
  <c r="G22" i="12" s="1"/>
  <c r="G22" i="13" s="1"/>
  <c r="G22" i="15" s="1"/>
  <c r="G22" i="17" s="1"/>
  <c r="G23" i="4"/>
  <c r="G23" i="7" s="1"/>
  <c r="G23" i="8" s="1"/>
  <c r="G23" i="9" s="1"/>
  <c r="G23" i="10" s="1"/>
  <c r="G23" i="11" s="1"/>
  <c r="G23" i="12" s="1"/>
  <c r="G23" i="13" s="1"/>
  <c r="G23" i="15" s="1"/>
  <c r="G23" i="17" s="1"/>
  <c r="G26" i="4"/>
  <c r="G27" i="4"/>
  <c r="G27" i="7" s="1"/>
  <c r="G27" i="8" s="1"/>
  <c r="G27" i="9" s="1"/>
  <c r="G27" i="10" s="1"/>
  <c r="G27" i="11" s="1"/>
  <c r="G27" i="12" s="1"/>
  <c r="G27" i="13" s="1"/>
  <c r="G27" i="15" s="1"/>
  <c r="G27" i="17" s="1"/>
  <c r="G29" i="4"/>
  <c r="G30" i="4"/>
  <c r="G30" i="7" s="1"/>
  <c r="G30" i="8" s="1"/>
  <c r="G30" i="9" s="1"/>
  <c r="G30" i="10" s="1"/>
  <c r="G30" i="11" s="1"/>
  <c r="G30" i="12" s="1"/>
  <c r="G30" i="13" s="1"/>
  <c r="G30" i="15" s="1"/>
  <c r="G30" i="17" s="1"/>
  <c r="G31" i="4"/>
  <c r="G31" i="7" s="1"/>
  <c r="G31" i="8" s="1"/>
  <c r="G31" i="9" s="1"/>
  <c r="G31" i="10" s="1"/>
  <c r="G31" i="11" s="1"/>
  <c r="G31" i="12" s="1"/>
  <c r="G31" i="13" s="1"/>
  <c r="G31" i="15" s="1"/>
  <c r="G31" i="17" s="1"/>
  <c r="G32" i="4"/>
  <c r="G32" i="7" s="1"/>
  <c r="G32" i="8" s="1"/>
  <c r="G32" i="9" s="1"/>
  <c r="G32" i="10" s="1"/>
  <c r="G32" i="11" s="1"/>
  <c r="G32" i="12" s="1"/>
  <c r="G32" i="13" s="1"/>
  <c r="G32" i="15" s="1"/>
  <c r="G32" i="17" s="1"/>
  <c r="G34" i="4"/>
  <c r="G35" i="4"/>
  <c r="G35" i="7" s="1"/>
  <c r="G35" i="8" s="1"/>
  <c r="G35" i="9" s="1"/>
  <c r="G35" i="10" s="1"/>
  <c r="G35" i="11" s="1"/>
  <c r="G35" i="12" s="1"/>
  <c r="G35" i="13" s="1"/>
  <c r="G36" i="4"/>
  <c r="G36" i="7" s="1"/>
  <c r="G36" i="8" s="1"/>
  <c r="G36" i="9" s="1"/>
  <c r="G36" i="10" s="1"/>
  <c r="G36" i="11" s="1"/>
  <c r="G36" i="12" s="1"/>
  <c r="G36" i="13" s="1"/>
  <c r="G36" i="15" s="1"/>
  <c r="G36" i="17" s="1"/>
  <c r="G37" i="4"/>
  <c r="G37" i="7" s="1"/>
  <c r="G37" i="8" s="1"/>
  <c r="G37" i="9" s="1"/>
  <c r="G37" i="10" s="1"/>
  <c r="G37" i="11" s="1"/>
  <c r="G37" i="12" s="1"/>
  <c r="G37" i="13" s="1"/>
  <c r="G37" i="15" s="1"/>
  <c r="G37" i="17" s="1"/>
  <c r="G40" i="4"/>
  <c r="G41" i="4"/>
  <c r="G41" i="7" s="1"/>
  <c r="G41" i="8" s="1"/>
  <c r="G41" i="9" s="1"/>
  <c r="G41" i="10" s="1"/>
  <c r="G41" i="11" s="1"/>
  <c r="G41" i="12" s="1"/>
  <c r="G41" i="13" s="1"/>
  <c r="G41" i="15" s="1"/>
  <c r="G42" i="4"/>
  <c r="G42" i="7" s="1"/>
  <c r="G42" i="8" s="1"/>
  <c r="G42" i="9" s="1"/>
  <c r="G42" i="10" s="1"/>
  <c r="G42" i="11" s="1"/>
  <c r="G42" i="12" s="1"/>
  <c r="G42" i="13" s="1"/>
  <c r="G42" i="15" s="1"/>
  <c r="G42" i="17" s="1"/>
  <c r="G43" i="4"/>
  <c r="G43" i="7" s="1"/>
  <c r="G43" i="8" s="1"/>
  <c r="G43" i="9" s="1"/>
  <c r="G43" i="10" s="1"/>
  <c r="G43" i="11" s="1"/>
  <c r="G43" i="12" s="1"/>
  <c r="G43" i="13" s="1"/>
  <c r="G43" i="15" s="1"/>
  <c r="G43" i="17" s="1"/>
  <c r="G45" i="4"/>
  <c r="G46" i="4"/>
  <c r="G46" i="7" s="1"/>
  <c r="G46" i="8" s="1"/>
  <c r="G46" i="9" s="1"/>
  <c r="G46" i="10" s="1"/>
  <c r="G46" i="11" s="1"/>
  <c r="G46" i="12" s="1"/>
  <c r="G46" i="13" s="1"/>
  <c r="G46" i="15" s="1"/>
  <c r="G46" i="17" s="1"/>
  <c r="G47" i="4"/>
  <c r="G47" i="7" s="1"/>
  <c r="G47" i="8" s="1"/>
  <c r="G47" i="9" s="1"/>
  <c r="G47" i="10" s="1"/>
  <c r="G47" i="11" s="1"/>
  <c r="G47" i="12" s="1"/>
  <c r="G47" i="13" s="1"/>
  <c r="G47" i="15" s="1"/>
  <c r="G47" i="17" s="1"/>
  <c r="G48" i="4"/>
  <c r="G48" i="7" s="1"/>
  <c r="G48" i="8" s="1"/>
  <c r="G48" i="9" s="1"/>
  <c r="G48" i="10" s="1"/>
  <c r="G48" i="11" s="1"/>
  <c r="G48" i="12" s="1"/>
  <c r="G48" i="13" s="1"/>
  <c r="G48" i="15" s="1"/>
  <c r="G48" i="17" s="1"/>
  <c r="G52" i="4"/>
  <c r="G53" i="4"/>
  <c r="E8" i="4"/>
  <c r="E8" i="7" s="1"/>
  <c r="E9" i="4"/>
  <c r="E9" i="7" s="1"/>
  <c r="E9" i="8" s="1"/>
  <c r="E9" i="9" s="1"/>
  <c r="E9" i="10" s="1"/>
  <c r="E9" i="11" s="1"/>
  <c r="E9" i="12" s="1"/>
  <c r="E9" i="13" s="1"/>
  <c r="E9" i="15" s="1"/>
  <c r="E9" i="17" s="1"/>
  <c r="E10" i="4"/>
  <c r="E10" i="7" s="1"/>
  <c r="E10" i="8" s="1"/>
  <c r="E10" i="9" s="1"/>
  <c r="E10" i="10" s="1"/>
  <c r="E10" i="11" s="1"/>
  <c r="E10" i="12" s="1"/>
  <c r="E10" i="13" s="1"/>
  <c r="E10" i="15" s="1"/>
  <c r="E10" i="17" s="1"/>
  <c r="E12" i="4"/>
  <c r="E13" i="4"/>
  <c r="E13" i="7" s="1"/>
  <c r="E13" i="8" s="1"/>
  <c r="E13" i="9" s="1"/>
  <c r="E13" i="10" s="1"/>
  <c r="E13" i="11" s="1"/>
  <c r="E13" i="12" s="1"/>
  <c r="E13" i="13" s="1"/>
  <c r="E13" i="15" s="1"/>
  <c r="E13" i="17" s="1"/>
  <c r="E14" i="4"/>
  <c r="E14" i="7" s="1"/>
  <c r="E14" i="8" s="1"/>
  <c r="E14" i="9" s="1"/>
  <c r="E14" i="10" s="1"/>
  <c r="E14" i="11" s="1"/>
  <c r="E14" i="12" s="1"/>
  <c r="E14" i="13" s="1"/>
  <c r="E14" i="15" s="1"/>
  <c r="E14" i="17" s="1"/>
  <c r="E16" i="4"/>
  <c r="E17" i="4"/>
  <c r="E17" i="7" s="1"/>
  <c r="E17" i="8" s="1"/>
  <c r="E17" i="9" s="1"/>
  <c r="E17" i="10" s="1"/>
  <c r="E17" i="11" s="1"/>
  <c r="E17" i="12" s="1"/>
  <c r="E17" i="13" s="1"/>
  <c r="E17" i="15" s="1"/>
  <c r="E17" i="17" s="1"/>
  <c r="E18" i="4"/>
  <c r="E18" i="7" s="1"/>
  <c r="E18" i="8" s="1"/>
  <c r="E18" i="9" s="1"/>
  <c r="E18" i="10" s="1"/>
  <c r="E18" i="11" s="1"/>
  <c r="E18" i="12" s="1"/>
  <c r="E18" i="13" s="1"/>
  <c r="E18" i="15" s="1"/>
  <c r="E18" i="17" s="1"/>
  <c r="E20" i="4"/>
  <c r="E21" i="4"/>
  <c r="E21" i="7" s="1"/>
  <c r="E21" i="8" s="1"/>
  <c r="E21" i="9" s="1"/>
  <c r="E21" i="10" s="1"/>
  <c r="E21" i="11" s="1"/>
  <c r="E21" i="12" s="1"/>
  <c r="E21" i="13" s="1"/>
  <c r="E21" i="15" s="1"/>
  <c r="E21" i="17" s="1"/>
  <c r="E22" i="4"/>
  <c r="E22" i="7" s="1"/>
  <c r="E22" i="8" s="1"/>
  <c r="E22" i="9" s="1"/>
  <c r="E22" i="10" s="1"/>
  <c r="E22" i="11" s="1"/>
  <c r="E22" i="12" s="1"/>
  <c r="E22" i="13" s="1"/>
  <c r="E22" i="15" s="1"/>
  <c r="E22" i="17" s="1"/>
  <c r="E23" i="4"/>
  <c r="E23" i="7" s="1"/>
  <c r="E26" i="4"/>
  <c r="E27" i="4"/>
  <c r="E27" i="7" s="1"/>
  <c r="E29" i="4"/>
  <c r="E30" i="4"/>
  <c r="E30" i="7" s="1"/>
  <c r="E30" i="8" s="1"/>
  <c r="E30" i="9" s="1"/>
  <c r="E30" i="10" s="1"/>
  <c r="E30" i="11" s="1"/>
  <c r="E30" i="12" s="1"/>
  <c r="E30" i="13" s="1"/>
  <c r="E30" i="15" s="1"/>
  <c r="E30" i="17" s="1"/>
  <c r="E31" i="4"/>
  <c r="E31" i="7" s="1"/>
  <c r="E31" i="8" s="1"/>
  <c r="E31" i="9" s="1"/>
  <c r="E31" i="10" s="1"/>
  <c r="E31" i="11" s="1"/>
  <c r="E31" i="12" s="1"/>
  <c r="E31" i="13" s="1"/>
  <c r="E31" i="15" s="1"/>
  <c r="E31" i="17" s="1"/>
  <c r="E32" i="4"/>
  <c r="E32" i="7" s="1"/>
  <c r="E32" i="8" s="1"/>
  <c r="E32" i="9" s="1"/>
  <c r="E32" i="10" s="1"/>
  <c r="E32" i="11" s="1"/>
  <c r="E32" i="12" s="1"/>
  <c r="E32" i="13" s="1"/>
  <c r="E32" i="15" s="1"/>
  <c r="E32" i="17" s="1"/>
  <c r="E34" i="4"/>
  <c r="E35" i="4"/>
  <c r="E35" i="7" s="1"/>
  <c r="E35" i="8" s="1"/>
  <c r="E35" i="9" s="1"/>
  <c r="E35" i="10" s="1"/>
  <c r="E35" i="11" s="1"/>
  <c r="E35" i="12" s="1"/>
  <c r="E36" i="4"/>
  <c r="E36" i="7" s="1"/>
  <c r="E36" i="8" s="1"/>
  <c r="E36" i="9" s="1"/>
  <c r="E36" i="10" s="1"/>
  <c r="E36" i="11" s="1"/>
  <c r="E36" i="12" s="1"/>
  <c r="E37" i="4"/>
  <c r="E37" i="7" s="1"/>
  <c r="E37" i="8" s="1"/>
  <c r="E37" i="9" s="1"/>
  <c r="E37" i="10" s="1"/>
  <c r="E37" i="11" s="1"/>
  <c r="E37" i="12" s="1"/>
  <c r="E37" i="13" s="1"/>
  <c r="E37" i="15" s="1"/>
  <c r="E37" i="17" s="1"/>
  <c r="E40" i="4"/>
  <c r="E40" i="7" s="1"/>
  <c r="E40" i="8" s="1"/>
  <c r="E40" i="9" s="1"/>
  <c r="E40" i="10" s="1"/>
  <c r="E40" i="11" s="1"/>
  <c r="E40" i="12" s="1"/>
  <c r="E40" i="13" s="1"/>
  <c r="E40" i="15" s="1"/>
  <c r="E40" i="17" s="1"/>
  <c r="E41" i="4"/>
  <c r="E41" i="7" s="1"/>
  <c r="E41" i="8" s="1"/>
  <c r="E41" i="9" s="1"/>
  <c r="E41" i="10" s="1"/>
  <c r="E41" i="11" s="1"/>
  <c r="E41" i="12" s="1"/>
  <c r="E41" i="13" s="1"/>
  <c r="E41" i="15" s="1"/>
  <c r="E41" i="17" s="1"/>
  <c r="E42" i="4"/>
  <c r="E43" i="4"/>
  <c r="E43" i="7" s="1"/>
  <c r="E43" i="8" s="1"/>
  <c r="E43" i="9" s="1"/>
  <c r="E43" i="10" s="1"/>
  <c r="E43" i="11" s="1"/>
  <c r="E43" i="12" s="1"/>
  <c r="E43" i="13" s="1"/>
  <c r="E45" i="4"/>
  <c r="E46" i="4"/>
  <c r="E46" i="7" s="1"/>
  <c r="E46" i="8" s="1"/>
  <c r="E46" i="9" s="1"/>
  <c r="E46" i="10" s="1"/>
  <c r="E46" i="11" s="1"/>
  <c r="E46" i="12" s="1"/>
  <c r="E46" i="13" s="1"/>
  <c r="E46" i="15" s="1"/>
  <c r="E46" i="17" s="1"/>
  <c r="E47" i="4"/>
  <c r="E47" i="7" s="1"/>
  <c r="E47" i="8" s="1"/>
  <c r="E47" i="9" s="1"/>
  <c r="E47" i="10" s="1"/>
  <c r="E47" i="11" s="1"/>
  <c r="E47" i="12" s="1"/>
  <c r="E47" i="13" s="1"/>
  <c r="E47" i="15" s="1"/>
  <c r="E47" i="17" s="1"/>
  <c r="E48" i="4"/>
  <c r="E48" i="7" s="1"/>
  <c r="E48" i="8" s="1"/>
  <c r="E48" i="9" s="1"/>
  <c r="E48" i="10" s="1"/>
  <c r="E48" i="11" s="1"/>
  <c r="E48" i="12" s="1"/>
  <c r="E48" i="13" s="1"/>
  <c r="E48" i="15" s="1"/>
  <c r="E48" i="17" s="1"/>
  <c r="E52" i="4"/>
  <c r="E53" i="4"/>
  <c r="N15" i="4" l="1"/>
  <c r="N49" i="4"/>
  <c r="N44" i="4"/>
  <c r="N38" i="4"/>
  <c r="O47" i="8"/>
  <c r="T47" i="8" s="1"/>
  <c r="O47" i="9" s="1"/>
  <c r="T47" i="9" s="1"/>
  <c r="O42" i="8"/>
  <c r="T42" i="8" s="1"/>
  <c r="O42" i="9" s="1"/>
  <c r="T42" i="9" s="1"/>
  <c r="O42" i="10" s="1"/>
  <c r="O36" i="8"/>
  <c r="T36" i="8" s="1"/>
  <c r="O36" i="9" s="1"/>
  <c r="T36" i="9" s="1"/>
  <c r="O36" i="10" s="1"/>
  <c r="O31" i="8"/>
  <c r="T31" i="8" s="1"/>
  <c r="O31" i="9" s="1"/>
  <c r="T31" i="9" s="1"/>
  <c r="O46" i="8"/>
  <c r="T46" i="8" s="1"/>
  <c r="O46" i="9" s="1"/>
  <c r="T46" i="9" s="1"/>
  <c r="O41" i="8"/>
  <c r="T41" i="8" s="1"/>
  <c r="O41" i="9" s="1"/>
  <c r="T41" i="9" s="1"/>
  <c r="O35" i="8"/>
  <c r="T35" i="8" s="1"/>
  <c r="O35" i="9" s="1"/>
  <c r="T35" i="9" s="1"/>
  <c r="O23" i="8"/>
  <c r="T23" i="8" s="1"/>
  <c r="O23" i="9" s="1"/>
  <c r="T23" i="9" s="1"/>
  <c r="O18" i="8"/>
  <c r="T18" i="8" s="1"/>
  <c r="O18" i="9" s="1"/>
  <c r="T18" i="9" s="1"/>
  <c r="O13" i="8"/>
  <c r="T13" i="8" s="1"/>
  <c r="O13" i="9" s="1"/>
  <c r="T13" i="9" s="1"/>
  <c r="O8" i="8"/>
  <c r="T8" i="8" s="1"/>
  <c r="O8" i="9" s="1"/>
  <c r="T8" i="9" s="1"/>
  <c r="O22" i="8"/>
  <c r="T22" i="8" s="1"/>
  <c r="O22" i="9" s="1"/>
  <c r="T22" i="9" s="1"/>
  <c r="O17" i="8"/>
  <c r="T17" i="8" s="1"/>
  <c r="O17" i="9" s="1"/>
  <c r="T17" i="9" s="1"/>
  <c r="O48" i="8"/>
  <c r="T48" i="8" s="1"/>
  <c r="O48" i="9" s="1"/>
  <c r="T48" i="9" s="1"/>
  <c r="O43" i="8"/>
  <c r="T43" i="8" s="1"/>
  <c r="O43" i="9" s="1"/>
  <c r="T43" i="9" s="1"/>
  <c r="O43" i="10" s="1"/>
  <c r="O37" i="8"/>
  <c r="T37" i="8" s="1"/>
  <c r="O37" i="9" s="1"/>
  <c r="T37" i="9" s="1"/>
  <c r="O32" i="8"/>
  <c r="T32" i="8" s="1"/>
  <c r="O32" i="9" s="1"/>
  <c r="T32" i="9" s="1"/>
  <c r="O21" i="8"/>
  <c r="T21" i="8" s="1"/>
  <c r="O21" i="9" s="1"/>
  <c r="T21" i="9" s="1"/>
  <c r="O10" i="8"/>
  <c r="T10" i="8" s="1"/>
  <c r="O10" i="9" s="1"/>
  <c r="T10" i="9" s="1"/>
  <c r="N33" i="4"/>
  <c r="E26" i="7"/>
  <c r="E26" i="8" s="1"/>
  <c r="E28" i="4"/>
  <c r="E20" i="7"/>
  <c r="E20" i="8" s="1"/>
  <c r="E20" i="9" s="1"/>
  <c r="E20" i="10" s="1"/>
  <c r="E20" i="11" s="1"/>
  <c r="E20" i="12" s="1"/>
  <c r="E20" i="13" s="1"/>
  <c r="E20" i="15" s="1"/>
  <c r="E20" i="17" s="1"/>
  <c r="E24" i="4"/>
  <c r="G21" i="10"/>
  <c r="G21" i="11" s="1"/>
  <c r="G21" i="12" s="1"/>
  <c r="G21" i="13" s="1"/>
  <c r="G21" i="15" s="1"/>
  <c r="G21" i="17" s="1"/>
  <c r="G16" i="7"/>
  <c r="G16" i="8" s="1"/>
  <c r="G19" i="4"/>
  <c r="H47" i="8"/>
  <c r="C47" i="9" s="1"/>
  <c r="U47" i="7"/>
  <c r="H31" i="8"/>
  <c r="C31" i="9" s="1"/>
  <c r="U31" i="7"/>
  <c r="U26" i="4"/>
  <c r="C26" i="7"/>
  <c r="H26" i="7" s="1"/>
  <c r="C26" i="8" s="1"/>
  <c r="H28" i="4"/>
  <c r="C28" i="7" s="1"/>
  <c r="U20" i="4"/>
  <c r="C20" i="7"/>
  <c r="H20" i="7" s="1"/>
  <c r="C20" i="8" s="1"/>
  <c r="H24" i="4"/>
  <c r="H14" i="8"/>
  <c r="C14" i="9" s="1"/>
  <c r="U14" i="7"/>
  <c r="H9" i="8"/>
  <c r="C9" i="9" s="1"/>
  <c r="K32" i="8"/>
  <c r="K27" i="8"/>
  <c r="K21" i="11"/>
  <c r="K21" i="12" s="1"/>
  <c r="K21" i="13" s="1"/>
  <c r="K21" i="15" s="1"/>
  <c r="K21" i="17" s="1"/>
  <c r="K16" i="7"/>
  <c r="K19" i="4"/>
  <c r="M26" i="7"/>
  <c r="M28" i="4"/>
  <c r="M20" i="7"/>
  <c r="M24" i="4"/>
  <c r="Q26" i="7"/>
  <c r="Q26" i="8" s="1"/>
  <c r="Q28" i="4"/>
  <c r="Q20" i="7"/>
  <c r="Q24" i="4"/>
  <c r="Q14" i="10"/>
  <c r="S16" i="7"/>
  <c r="S16" i="8" s="1"/>
  <c r="S19" i="4"/>
  <c r="O26" i="7"/>
  <c r="T26" i="7" s="1"/>
  <c r="T28" i="4"/>
  <c r="O28" i="7" s="1"/>
  <c r="O20" i="7"/>
  <c r="T20" i="7" s="1"/>
  <c r="O20" i="8" s="1"/>
  <c r="T24" i="4"/>
  <c r="O24" i="7" s="1"/>
  <c r="T14" i="8"/>
  <c r="O14" i="9" s="1"/>
  <c r="O9" i="7"/>
  <c r="T9" i="7" s="1"/>
  <c r="G26" i="7"/>
  <c r="G28" i="4"/>
  <c r="G20" i="7"/>
  <c r="G24" i="4"/>
  <c r="H46" i="8"/>
  <c r="C46" i="9" s="1"/>
  <c r="U46" i="7"/>
  <c r="H41" i="8"/>
  <c r="C41" i="9" s="1"/>
  <c r="U41" i="7"/>
  <c r="H35" i="8"/>
  <c r="C35" i="9" s="1"/>
  <c r="U35" i="7"/>
  <c r="H30" i="8"/>
  <c r="C30" i="9" s="1"/>
  <c r="H23" i="8"/>
  <c r="C23" i="9" s="1"/>
  <c r="U23" i="7"/>
  <c r="H18" i="8"/>
  <c r="C18" i="9" s="1"/>
  <c r="U18" i="7"/>
  <c r="H13" i="8"/>
  <c r="C13" i="9" s="1"/>
  <c r="U13" i="7"/>
  <c r="H8" i="8"/>
  <c r="C8" i="9" s="1"/>
  <c r="U8" i="7"/>
  <c r="K26" i="7"/>
  <c r="K26" i="8" s="1"/>
  <c r="K26" i="9" s="1"/>
  <c r="K26" i="10" s="1"/>
  <c r="K26" i="11" s="1"/>
  <c r="K28" i="4"/>
  <c r="K20" i="7"/>
  <c r="K24" i="4"/>
  <c r="M18" i="13"/>
  <c r="M18" i="15" s="1"/>
  <c r="M18" i="17" s="1"/>
  <c r="Q33" i="4"/>
  <c r="Q30" i="7"/>
  <c r="Q30" i="8" s="1"/>
  <c r="Q30" i="9" s="1"/>
  <c r="Q30" i="10" s="1"/>
  <c r="Q30" i="11" s="1"/>
  <c r="Q30" i="12" s="1"/>
  <c r="Q30" i="13" s="1"/>
  <c r="Q30" i="15" s="1"/>
  <c r="Q30" i="17" s="1"/>
  <c r="S26" i="7"/>
  <c r="S28" i="4"/>
  <c r="S20" i="7"/>
  <c r="S24" i="4"/>
  <c r="T33" i="4"/>
  <c r="O30" i="7"/>
  <c r="T30" i="7" s="1"/>
  <c r="T33" i="7" s="1"/>
  <c r="O33" i="8" s="1"/>
  <c r="E24" i="7"/>
  <c r="E23" i="8"/>
  <c r="E8" i="8"/>
  <c r="E29" i="7"/>
  <c r="E33" i="4"/>
  <c r="E12" i="7"/>
  <c r="E15" i="4"/>
  <c r="G41" i="17"/>
  <c r="C45" i="7"/>
  <c r="H45" i="7" s="1"/>
  <c r="C45" i="8" s="1"/>
  <c r="H49" i="4"/>
  <c r="C49" i="7" s="1"/>
  <c r="H40" i="8"/>
  <c r="C40" i="9" s="1"/>
  <c r="H38" i="4"/>
  <c r="C38" i="7" s="1"/>
  <c r="C34" i="7"/>
  <c r="H34" i="7" s="1"/>
  <c r="C34" i="8" s="1"/>
  <c r="C29" i="7"/>
  <c r="H29" i="7" s="1"/>
  <c r="C29" i="8" s="1"/>
  <c r="H33" i="4"/>
  <c r="C33" i="7" s="1"/>
  <c r="H22" i="8"/>
  <c r="C22" i="9" s="1"/>
  <c r="U22" i="7"/>
  <c r="H17" i="8"/>
  <c r="C17" i="9" s="1"/>
  <c r="U17" i="7"/>
  <c r="C12" i="7"/>
  <c r="H12" i="7" s="1"/>
  <c r="C12" i="8" s="1"/>
  <c r="H15" i="4"/>
  <c r="C15" i="7" s="1"/>
  <c r="K18" i="12"/>
  <c r="K18" i="13" s="1"/>
  <c r="K18" i="15" s="1"/>
  <c r="K18" i="17" s="1"/>
  <c r="M45" i="7"/>
  <c r="M49" i="4"/>
  <c r="M40" i="7"/>
  <c r="M44" i="4"/>
  <c r="M34" i="7"/>
  <c r="M38" i="4"/>
  <c r="M29" i="7"/>
  <c r="M33" i="4"/>
  <c r="M12" i="7"/>
  <c r="M15" i="4"/>
  <c r="U21" i="4"/>
  <c r="N19" i="4"/>
  <c r="Q45" i="7"/>
  <c r="Q49" i="4"/>
  <c r="Q40" i="7"/>
  <c r="Q44" i="4"/>
  <c r="Q34" i="7"/>
  <c r="Q38" i="4"/>
  <c r="Q12" i="7"/>
  <c r="Q15" i="4"/>
  <c r="S18" i="8"/>
  <c r="S18" i="9" s="1"/>
  <c r="S18" i="10" s="1"/>
  <c r="S18" i="11" s="1"/>
  <c r="S18" i="12" s="1"/>
  <c r="S18" i="13" s="1"/>
  <c r="O45" i="7"/>
  <c r="T45" i="7" s="1"/>
  <c r="O45" i="8" s="1"/>
  <c r="T49" i="4"/>
  <c r="O40" i="7"/>
  <c r="T40" i="7" s="1"/>
  <c r="T44" i="4"/>
  <c r="O44" i="7" s="1"/>
  <c r="O34" i="7"/>
  <c r="T34" i="7" s="1"/>
  <c r="O34" i="8" s="1"/>
  <c r="T38" i="4"/>
  <c r="O38" i="7" s="1"/>
  <c r="T29" i="8"/>
  <c r="O29" i="9" s="1"/>
  <c r="O12" i="7"/>
  <c r="T12" i="7" s="1"/>
  <c r="T15" i="4"/>
  <c r="O15" i="7" s="1"/>
  <c r="E45" i="7"/>
  <c r="E49" i="4"/>
  <c r="G35" i="15"/>
  <c r="G35" i="17" s="1"/>
  <c r="E28" i="7"/>
  <c r="E27" i="8"/>
  <c r="E27" i="9" s="1"/>
  <c r="E27" i="10" s="1"/>
  <c r="E27" i="11" s="1"/>
  <c r="E27" i="12" s="1"/>
  <c r="E27" i="13" s="1"/>
  <c r="E16" i="7"/>
  <c r="E19" i="4"/>
  <c r="G45" i="7"/>
  <c r="G49" i="4"/>
  <c r="G40" i="7"/>
  <c r="G44" i="4"/>
  <c r="G34" i="7"/>
  <c r="G38" i="4"/>
  <c r="G29" i="7"/>
  <c r="G33" i="4"/>
  <c r="G19" i="7"/>
  <c r="G17" i="8"/>
  <c r="G17" i="9" s="1"/>
  <c r="G17" i="10" s="1"/>
  <c r="G17" i="11" s="1"/>
  <c r="G17" i="12" s="1"/>
  <c r="G17" i="13" s="1"/>
  <c r="G17" i="15" s="1"/>
  <c r="G17" i="17" s="1"/>
  <c r="G12" i="7"/>
  <c r="G15" i="4"/>
  <c r="U48" i="4"/>
  <c r="C48" i="7"/>
  <c r="H48" i="7" s="1"/>
  <c r="C48" i="8" s="1"/>
  <c r="U37" i="4"/>
  <c r="C37" i="7"/>
  <c r="H37" i="7" s="1"/>
  <c r="C37" i="8" s="1"/>
  <c r="H32" i="8"/>
  <c r="C32" i="9" s="1"/>
  <c r="U32" i="7"/>
  <c r="U27" i="4"/>
  <c r="C27" i="7"/>
  <c r="H27" i="7" s="1"/>
  <c r="C27" i="8" s="1"/>
  <c r="H21" i="8"/>
  <c r="C21" i="9" s="1"/>
  <c r="U21" i="7"/>
  <c r="U16" i="4"/>
  <c r="C16" i="7"/>
  <c r="H16" i="7" s="1"/>
  <c r="C16" i="8" s="1"/>
  <c r="H19" i="4"/>
  <c r="C19" i="7" s="1"/>
  <c r="U10" i="4"/>
  <c r="C10" i="7"/>
  <c r="H10" i="7" s="1"/>
  <c r="C10" i="8" s="1"/>
  <c r="K45" i="7"/>
  <c r="K49" i="4"/>
  <c r="K50" i="4" s="1"/>
  <c r="K40" i="7"/>
  <c r="K44" i="4"/>
  <c r="K34" i="7"/>
  <c r="K38" i="4"/>
  <c r="K39" i="4" s="1"/>
  <c r="K29" i="7"/>
  <c r="K29" i="8" s="1"/>
  <c r="K29" i="9" s="1"/>
  <c r="K29" i="10" s="1"/>
  <c r="K33" i="4"/>
  <c r="K12" i="7"/>
  <c r="K15" i="4"/>
  <c r="M16" i="7"/>
  <c r="M19" i="4"/>
  <c r="N28" i="4"/>
  <c r="N39" i="4" s="1"/>
  <c r="N24" i="4"/>
  <c r="Q28" i="7"/>
  <c r="Q27" i="8"/>
  <c r="Q27" i="9" s="1"/>
  <c r="Q27" i="10" s="1"/>
  <c r="Q21" i="9"/>
  <c r="Q21" i="10" s="1"/>
  <c r="Q21" i="11" s="1"/>
  <c r="Q21" i="12" s="1"/>
  <c r="Q21" i="13" s="1"/>
  <c r="Q21" i="15" s="1"/>
  <c r="Q21" i="17" s="1"/>
  <c r="Q19" i="4"/>
  <c r="Q16" i="7"/>
  <c r="S45" i="7"/>
  <c r="S49" i="4"/>
  <c r="S50" i="4" s="1"/>
  <c r="S40" i="7"/>
  <c r="S44" i="4"/>
  <c r="S34" i="7"/>
  <c r="S38" i="4"/>
  <c r="S39" i="4" s="1"/>
  <c r="S29" i="7"/>
  <c r="S33" i="4"/>
  <c r="S12" i="7"/>
  <c r="S15" i="4"/>
  <c r="T27" i="8"/>
  <c r="O27" i="9" s="1"/>
  <c r="T19" i="4"/>
  <c r="O16" i="7"/>
  <c r="T16" i="7" s="1"/>
  <c r="O16" i="8" s="1"/>
  <c r="Q33" i="7"/>
  <c r="Q29" i="8"/>
  <c r="Q9" i="7"/>
  <c r="E43" i="15"/>
  <c r="E43" i="17" s="1"/>
  <c r="U43" i="4"/>
  <c r="C43" i="7"/>
  <c r="H43" i="7" s="1"/>
  <c r="C43" i="8" s="1"/>
  <c r="E44" i="4"/>
  <c r="E50" i="4" s="1"/>
  <c r="E42" i="7"/>
  <c r="H44" i="4"/>
  <c r="C42" i="7"/>
  <c r="H42" i="7" s="1"/>
  <c r="C42" i="8" s="1"/>
  <c r="E36" i="13"/>
  <c r="U36" i="4"/>
  <c r="C36" i="7"/>
  <c r="H36" i="7" s="1"/>
  <c r="C36" i="8" s="1"/>
  <c r="E35" i="13"/>
  <c r="E34" i="7"/>
  <c r="E38" i="4"/>
  <c r="E39" i="4" s="1"/>
  <c r="U34" i="4"/>
  <c r="U22" i="4"/>
  <c r="U12" i="4"/>
  <c r="U42" i="4"/>
  <c r="U17" i="4"/>
  <c r="U40" i="4"/>
  <c r="U47" i="4"/>
  <c r="U31" i="4"/>
  <c r="U9" i="4"/>
  <c r="U45" i="4"/>
  <c r="U46" i="4"/>
  <c r="U41" i="4"/>
  <c r="U35" i="4"/>
  <c r="U23" i="4"/>
  <c r="U13" i="4"/>
  <c r="U8" i="4"/>
  <c r="U30" i="4"/>
  <c r="U32" i="4"/>
  <c r="U29" i="4"/>
  <c r="U18" i="4"/>
  <c r="U14" i="4"/>
  <c r="T7" i="4"/>
  <c r="O7" i="7" s="1"/>
  <c r="T7" i="7" s="1"/>
  <c r="O7" i="8" s="1"/>
  <c r="S7" i="4"/>
  <c r="Q7" i="4"/>
  <c r="Q7" i="7" s="1"/>
  <c r="Q7" i="8" s="1"/>
  <c r="Q7" i="9" s="1"/>
  <c r="Q7" i="10" s="1"/>
  <c r="Q7" i="11" s="1"/>
  <c r="Q7" i="12" s="1"/>
  <c r="Q7" i="13" s="1"/>
  <c r="Q7" i="15" s="1"/>
  <c r="Q7" i="17" s="1"/>
  <c r="N7" i="4"/>
  <c r="N11" i="4" s="1"/>
  <c r="M7" i="4"/>
  <c r="K7" i="4"/>
  <c r="H7" i="4"/>
  <c r="G7" i="4"/>
  <c r="E7" i="4"/>
  <c r="H39" i="4" l="1"/>
  <c r="C39" i="7" s="1"/>
  <c r="N50" i="4"/>
  <c r="O10" i="10"/>
  <c r="T10" i="10" s="1"/>
  <c r="O8" i="10"/>
  <c r="T8" i="10" s="1"/>
  <c r="O17" i="10"/>
  <c r="T17" i="10" s="1"/>
  <c r="O46" i="10"/>
  <c r="T46" i="10" s="1"/>
  <c r="O35" i="10"/>
  <c r="T35" i="10" s="1"/>
  <c r="O32" i="10"/>
  <c r="T32" i="10" s="1"/>
  <c r="O18" i="10"/>
  <c r="T18" i="10" s="1"/>
  <c r="O47" i="10"/>
  <c r="T47" i="10" s="1"/>
  <c r="O22" i="10"/>
  <c r="T22" i="10" s="1"/>
  <c r="O30" i="8"/>
  <c r="T30" i="8" s="1"/>
  <c r="O26" i="8"/>
  <c r="T26" i="8" s="1"/>
  <c r="O37" i="10"/>
  <c r="T37" i="10" s="1"/>
  <c r="O13" i="10"/>
  <c r="T13" i="10" s="1"/>
  <c r="O31" i="10"/>
  <c r="T31" i="10" s="1"/>
  <c r="O21" i="10"/>
  <c r="T21" i="10" s="1"/>
  <c r="O12" i="8"/>
  <c r="T12" i="8" s="1"/>
  <c r="U40" i="7"/>
  <c r="O40" i="8"/>
  <c r="T40" i="8" s="1"/>
  <c r="O48" i="10"/>
  <c r="T48" i="10" s="1"/>
  <c r="O23" i="10"/>
  <c r="T23" i="10" s="1"/>
  <c r="O41" i="10"/>
  <c r="T41" i="10" s="1"/>
  <c r="O9" i="8"/>
  <c r="T9" i="8" s="1"/>
  <c r="T28" i="7"/>
  <c r="O28" i="8" s="1"/>
  <c r="K28" i="7"/>
  <c r="U30" i="7"/>
  <c r="T43" i="10"/>
  <c r="O43" i="11" s="1"/>
  <c r="T36" i="10"/>
  <c r="O36" i="11" s="1"/>
  <c r="M40" i="8"/>
  <c r="M44" i="7"/>
  <c r="K7" i="7"/>
  <c r="K11" i="4"/>
  <c r="S7" i="7"/>
  <c r="S11" i="4"/>
  <c r="U15" i="4"/>
  <c r="S12" i="8"/>
  <c r="S15" i="7"/>
  <c r="S45" i="8"/>
  <c r="S49" i="7"/>
  <c r="K34" i="8"/>
  <c r="K38" i="7"/>
  <c r="H16" i="8"/>
  <c r="C16" i="9" s="1"/>
  <c r="H19" i="7"/>
  <c r="C19" i="8" s="1"/>
  <c r="U16" i="7"/>
  <c r="U19" i="7" s="1"/>
  <c r="H37" i="8"/>
  <c r="C37" i="9" s="1"/>
  <c r="U37" i="7"/>
  <c r="E7" i="7"/>
  <c r="E11" i="4"/>
  <c r="M7" i="7"/>
  <c r="M11" i="4"/>
  <c r="T7" i="8"/>
  <c r="O7" i="9" s="1"/>
  <c r="T11" i="7"/>
  <c r="O11" i="8" s="1"/>
  <c r="U49" i="4"/>
  <c r="T19" i="7"/>
  <c r="O19" i="8" s="1"/>
  <c r="T16" i="8"/>
  <c r="O16" i="9" s="1"/>
  <c r="T27" i="9"/>
  <c r="Q16" i="8"/>
  <c r="Q19" i="7"/>
  <c r="Q27" i="11"/>
  <c r="Q27" i="12" s="1"/>
  <c r="H10" i="8"/>
  <c r="C10" i="9" s="1"/>
  <c r="U10" i="7"/>
  <c r="G12" i="8"/>
  <c r="G15" i="7"/>
  <c r="G29" i="8"/>
  <c r="G33" i="7"/>
  <c r="G40" i="8"/>
  <c r="G44" i="7"/>
  <c r="E19" i="7"/>
  <c r="E16" i="8"/>
  <c r="T29" i="9"/>
  <c r="O29" i="10" s="1"/>
  <c r="T44" i="7"/>
  <c r="O44" i="8" s="1"/>
  <c r="S19" i="7"/>
  <c r="Q34" i="8"/>
  <c r="Q38" i="7"/>
  <c r="Q45" i="8"/>
  <c r="Q49" i="7"/>
  <c r="M12" i="8"/>
  <c r="M15" i="7"/>
  <c r="M34" i="8"/>
  <c r="M38" i="7"/>
  <c r="M45" i="8"/>
  <c r="M49" i="7"/>
  <c r="H15" i="7"/>
  <c r="C15" i="8" s="1"/>
  <c r="H12" i="8"/>
  <c r="C12" i="9" s="1"/>
  <c r="U12" i="7"/>
  <c r="U15" i="7" s="1"/>
  <c r="H22" i="9"/>
  <c r="C22" i="10" s="1"/>
  <c r="U22" i="8"/>
  <c r="H45" i="8"/>
  <c r="C45" i="9" s="1"/>
  <c r="U45" i="7"/>
  <c r="H49" i="7"/>
  <c r="C49" i="8" s="1"/>
  <c r="E12" i="8"/>
  <c r="E15" i="7"/>
  <c r="T39" i="4"/>
  <c r="O39" i="7" s="1"/>
  <c r="O33" i="7"/>
  <c r="S20" i="8"/>
  <c r="S24" i="7"/>
  <c r="Q39" i="4"/>
  <c r="K26" i="12"/>
  <c r="K26" i="13" s="1"/>
  <c r="K26" i="15" s="1"/>
  <c r="K26" i="17" s="1"/>
  <c r="H13" i="9"/>
  <c r="C13" i="10" s="1"/>
  <c r="U13" i="8"/>
  <c r="H23" i="9"/>
  <c r="C23" i="10" s="1"/>
  <c r="U23" i="8"/>
  <c r="H35" i="9"/>
  <c r="C35" i="10" s="1"/>
  <c r="U35" i="8"/>
  <c r="H46" i="9"/>
  <c r="C46" i="10" s="1"/>
  <c r="U46" i="8"/>
  <c r="G26" i="8"/>
  <c r="G28" i="7"/>
  <c r="T15" i="7"/>
  <c r="O15" i="8" s="1"/>
  <c r="Q26" i="9"/>
  <c r="Q28" i="8"/>
  <c r="M26" i="8"/>
  <c r="M28" i="7"/>
  <c r="K33" i="7"/>
  <c r="H14" i="9"/>
  <c r="C14" i="10" s="1"/>
  <c r="U14" i="8"/>
  <c r="H31" i="9"/>
  <c r="C31" i="10" s="1"/>
  <c r="U31" i="8"/>
  <c r="G16" i="9"/>
  <c r="G19" i="8"/>
  <c r="E25" i="4"/>
  <c r="U19" i="4"/>
  <c r="Q39" i="7"/>
  <c r="O19" i="7"/>
  <c r="S29" i="8"/>
  <c r="S33" i="7"/>
  <c r="S40" i="8"/>
  <c r="S44" i="7"/>
  <c r="M16" i="8"/>
  <c r="M19" i="7"/>
  <c r="K29" i="11"/>
  <c r="K40" i="8"/>
  <c r="K44" i="7"/>
  <c r="H48" i="8"/>
  <c r="C48" i="9" s="1"/>
  <c r="U48" i="7"/>
  <c r="G39" i="4"/>
  <c r="G50" i="4"/>
  <c r="E27" i="15"/>
  <c r="E27" i="17" s="1"/>
  <c r="O49" i="7"/>
  <c r="T50" i="4"/>
  <c r="E24" i="8"/>
  <c r="E23" i="9"/>
  <c r="K25" i="4"/>
  <c r="K51" i="4" s="1"/>
  <c r="M25" i="4"/>
  <c r="K28" i="8"/>
  <c r="K27" i="9"/>
  <c r="U9" i="7"/>
  <c r="C24" i="7"/>
  <c r="H26" i="8"/>
  <c r="C26" i="9" s="1"/>
  <c r="U26" i="7"/>
  <c r="C7" i="7"/>
  <c r="H7" i="7" s="1"/>
  <c r="C7" i="8" s="1"/>
  <c r="H11" i="4"/>
  <c r="C11" i="7" s="1"/>
  <c r="H32" i="9"/>
  <c r="C32" i="10" s="1"/>
  <c r="U32" i="8"/>
  <c r="G34" i="8"/>
  <c r="G38" i="7"/>
  <c r="T49" i="7"/>
  <c r="O49" i="8" s="1"/>
  <c r="T45" i="8"/>
  <c r="O45" i="9" s="1"/>
  <c r="Q12" i="8"/>
  <c r="Q15" i="7"/>
  <c r="Q40" i="8"/>
  <c r="Q44" i="7"/>
  <c r="M29" i="8"/>
  <c r="M33" i="7"/>
  <c r="H17" i="9"/>
  <c r="C17" i="10" s="1"/>
  <c r="U17" i="8"/>
  <c r="H29" i="8"/>
  <c r="C29" i="9" s="1"/>
  <c r="U29" i="7"/>
  <c r="U33" i="7" s="1"/>
  <c r="H33" i="7"/>
  <c r="C33" i="8" s="1"/>
  <c r="H40" i="9"/>
  <c r="C40" i="10" s="1"/>
  <c r="E29" i="8"/>
  <c r="E33" i="7"/>
  <c r="S26" i="8"/>
  <c r="S28" i="7"/>
  <c r="K20" i="8"/>
  <c r="K24" i="7"/>
  <c r="H8" i="9"/>
  <c r="C8" i="10" s="1"/>
  <c r="U8" i="8"/>
  <c r="H18" i="9"/>
  <c r="C18" i="10" s="1"/>
  <c r="U18" i="8"/>
  <c r="H30" i="9"/>
  <c r="C30" i="10" s="1"/>
  <c r="H41" i="9"/>
  <c r="C41" i="10" s="1"/>
  <c r="U41" i="8"/>
  <c r="G20" i="8"/>
  <c r="G24" i="7"/>
  <c r="T11" i="4"/>
  <c r="O11" i="7" s="1"/>
  <c r="T20" i="8"/>
  <c r="O20" i="9" s="1"/>
  <c r="T24" i="7"/>
  <c r="O24" i="8" s="1"/>
  <c r="T42" i="10"/>
  <c r="O42" i="11" s="1"/>
  <c r="S16" i="9"/>
  <c r="S19" i="8"/>
  <c r="Q20" i="8"/>
  <c r="Q24" i="7"/>
  <c r="M20" i="8"/>
  <c r="M24" i="7"/>
  <c r="K16" i="8"/>
  <c r="K19" i="7"/>
  <c r="H9" i="9"/>
  <c r="C9" i="10" s="1"/>
  <c r="H24" i="7"/>
  <c r="C24" i="8" s="1"/>
  <c r="H20" i="8"/>
  <c r="C20" i="9" s="1"/>
  <c r="U20" i="7"/>
  <c r="U24" i="7" s="1"/>
  <c r="U28" i="4"/>
  <c r="H47" i="9"/>
  <c r="C47" i="10" s="1"/>
  <c r="U47" i="8"/>
  <c r="G7" i="7"/>
  <c r="G11" i="4"/>
  <c r="G25" i="4" s="1"/>
  <c r="Q11" i="4"/>
  <c r="Q25" i="4" s="1"/>
  <c r="N25" i="4"/>
  <c r="N51" i="4" s="1"/>
  <c r="H21" i="9"/>
  <c r="C21" i="10" s="1"/>
  <c r="U21" i="8"/>
  <c r="G45" i="8"/>
  <c r="G49" i="7"/>
  <c r="G50" i="7" s="1"/>
  <c r="E45" i="8"/>
  <c r="E49" i="7"/>
  <c r="T34" i="8"/>
  <c r="O34" i="9" s="1"/>
  <c r="T38" i="7"/>
  <c r="O38" i="8" s="1"/>
  <c r="E51" i="4"/>
  <c r="S34" i="8"/>
  <c r="S38" i="7"/>
  <c r="S39" i="7" s="1"/>
  <c r="K12" i="8"/>
  <c r="K15" i="7"/>
  <c r="K45" i="8"/>
  <c r="K49" i="7"/>
  <c r="K50" i="7" s="1"/>
  <c r="H28" i="7"/>
  <c r="C28" i="8" s="1"/>
  <c r="H27" i="8"/>
  <c r="C27" i="9" s="1"/>
  <c r="U27" i="7"/>
  <c r="U28" i="7" s="1"/>
  <c r="S18" i="15"/>
  <c r="S18" i="17" s="1"/>
  <c r="Q50" i="4"/>
  <c r="M39" i="4"/>
  <c r="M50" i="4"/>
  <c r="M51" i="4" s="1"/>
  <c r="H34" i="8"/>
  <c r="C34" i="9" s="1"/>
  <c r="U34" i="7"/>
  <c r="E8" i="9"/>
  <c r="S25" i="4"/>
  <c r="S51" i="4" s="1"/>
  <c r="T14" i="9"/>
  <c r="Q14" i="11"/>
  <c r="Q14" i="12" s="1"/>
  <c r="K33" i="8"/>
  <c r="K32" i="9"/>
  <c r="U24" i="4"/>
  <c r="E26" i="9"/>
  <c r="E28" i="8"/>
  <c r="U33" i="4"/>
  <c r="Q33" i="8"/>
  <c r="Q29" i="9"/>
  <c r="Q9" i="8"/>
  <c r="Q11" i="7"/>
  <c r="Q25" i="7" s="1"/>
  <c r="U44" i="4"/>
  <c r="U50" i="4" s="1"/>
  <c r="H43" i="8"/>
  <c r="C43" i="9" s="1"/>
  <c r="U43" i="7"/>
  <c r="H42" i="8"/>
  <c r="C42" i="9" s="1"/>
  <c r="H44" i="7"/>
  <c r="C44" i="8" s="1"/>
  <c r="U42" i="7"/>
  <c r="H50" i="4"/>
  <c r="C44" i="7"/>
  <c r="E42" i="8"/>
  <c r="E44" i="7"/>
  <c r="E50" i="7" s="1"/>
  <c r="E36" i="15"/>
  <c r="E36" i="17" s="1"/>
  <c r="H36" i="8"/>
  <c r="C36" i="9" s="1"/>
  <c r="H38" i="7"/>
  <c r="C38" i="8" s="1"/>
  <c r="U36" i="7"/>
  <c r="E35" i="15"/>
  <c r="E35" i="17" s="1"/>
  <c r="U38" i="4"/>
  <c r="E34" i="8"/>
  <c r="E38" i="7"/>
  <c r="E39" i="7" s="1"/>
  <c r="U7" i="4"/>
  <c r="U11" i="4" s="1"/>
  <c r="C53" i="4"/>
  <c r="H53" i="4" s="1"/>
  <c r="C52" i="4"/>
  <c r="H52" i="4" s="1"/>
  <c r="O30" i="9" l="1"/>
  <c r="T30" i="9" s="1"/>
  <c r="O30" i="10" s="1"/>
  <c r="T30" i="10" s="1"/>
  <c r="T33" i="8"/>
  <c r="O33" i="9" s="1"/>
  <c r="U30" i="8"/>
  <c r="O12" i="9"/>
  <c r="T12" i="9" s="1"/>
  <c r="O12" i="10" s="1"/>
  <c r="T15" i="8"/>
  <c r="O15" i="9" s="1"/>
  <c r="O40" i="9"/>
  <c r="U40" i="8"/>
  <c r="O9" i="9"/>
  <c r="T9" i="9" s="1"/>
  <c r="U9" i="8"/>
  <c r="O26" i="9"/>
  <c r="T26" i="9" s="1"/>
  <c r="O26" i="10" s="1"/>
  <c r="T28" i="8"/>
  <c r="O28" i="9" s="1"/>
  <c r="O17" i="11"/>
  <c r="T17" i="11" s="1"/>
  <c r="O13" i="11"/>
  <c r="T13" i="11" s="1"/>
  <c r="O35" i="11"/>
  <c r="T35" i="11" s="1"/>
  <c r="O21" i="11"/>
  <c r="T21" i="11" s="1"/>
  <c r="O18" i="11"/>
  <c r="T18" i="11" s="1"/>
  <c r="O23" i="11"/>
  <c r="T23" i="11" s="1"/>
  <c r="O22" i="11"/>
  <c r="T22" i="11" s="1"/>
  <c r="O10" i="11"/>
  <c r="T10" i="11" s="1"/>
  <c r="O27" i="10"/>
  <c r="T27" i="10" s="1"/>
  <c r="O41" i="11"/>
  <c r="T41" i="11" s="1"/>
  <c r="O48" i="11"/>
  <c r="T48" i="11" s="1"/>
  <c r="O31" i="11"/>
  <c r="T31" i="11" s="1"/>
  <c r="O37" i="11"/>
  <c r="T37" i="11" s="1"/>
  <c r="O47" i="11"/>
  <c r="T47" i="11" s="1"/>
  <c r="O32" i="11"/>
  <c r="T32" i="11" s="1"/>
  <c r="O46" i="11"/>
  <c r="T46" i="11" s="1"/>
  <c r="O8" i="11"/>
  <c r="T8" i="11" s="1"/>
  <c r="O14" i="10"/>
  <c r="T14" i="10" s="1"/>
  <c r="U25" i="4"/>
  <c r="U39" i="4"/>
  <c r="H25" i="4"/>
  <c r="C25" i="7" s="1"/>
  <c r="M50" i="7"/>
  <c r="T42" i="11"/>
  <c r="O42" i="12" s="1"/>
  <c r="T36" i="11"/>
  <c r="O36" i="12" s="1"/>
  <c r="T43" i="11"/>
  <c r="O43" i="12" s="1"/>
  <c r="U38" i="7"/>
  <c r="U39" i="7" s="1"/>
  <c r="E26" i="10"/>
  <c r="E28" i="9"/>
  <c r="Q14" i="13"/>
  <c r="Q14" i="15" s="1"/>
  <c r="Q14" i="17" s="1"/>
  <c r="K49" i="8"/>
  <c r="K45" i="9"/>
  <c r="S34" i="9"/>
  <c r="S38" i="8"/>
  <c r="Q51" i="4"/>
  <c r="H47" i="10"/>
  <c r="C47" i="11" s="1"/>
  <c r="U47" i="9"/>
  <c r="K16" i="9"/>
  <c r="K19" i="8"/>
  <c r="Q20" i="9"/>
  <c r="Q24" i="8"/>
  <c r="T20" i="9"/>
  <c r="O20" i="10" s="1"/>
  <c r="T24" i="8"/>
  <c r="O24" i="9" s="1"/>
  <c r="H40" i="10"/>
  <c r="C40" i="11" s="1"/>
  <c r="T45" i="9"/>
  <c r="O45" i="10" s="1"/>
  <c r="T49" i="8"/>
  <c r="O49" i="9" s="1"/>
  <c r="G39" i="7"/>
  <c r="H28" i="8"/>
  <c r="C28" i="9" s="1"/>
  <c r="H26" i="9"/>
  <c r="C26" i="10" s="1"/>
  <c r="U26" i="8"/>
  <c r="K28" i="9"/>
  <c r="K27" i="10"/>
  <c r="H48" i="9"/>
  <c r="C48" i="10" s="1"/>
  <c r="U48" i="8"/>
  <c r="K29" i="12"/>
  <c r="K29" i="13" s="1"/>
  <c r="K29" i="15" s="1"/>
  <c r="K29" i="17" s="1"/>
  <c r="S40" i="9"/>
  <c r="S44" i="8"/>
  <c r="T25" i="4"/>
  <c r="O25" i="7" s="1"/>
  <c r="H31" i="10"/>
  <c r="C31" i="11" s="1"/>
  <c r="U31" i="9"/>
  <c r="G26" i="9"/>
  <c r="G28" i="8"/>
  <c r="H35" i="10"/>
  <c r="C35" i="11" s="1"/>
  <c r="U35" i="9"/>
  <c r="U49" i="7"/>
  <c r="M45" i="9"/>
  <c r="M49" i="8"/>
  <c r="M12" i="9"/>
  <c r="M15" i="8"/>
  <c r="Q34" i="9"/>
  <c r="Q38" i="8"/>
  <c r="E19" i="8"/>
  <c r="E16" i="9"/>
  <c r="T16" i="9"/>
  <c r="O16" i="10" s="1"/>
  <c r="T19" i="8"/>
  <c r="O19" i="9" s="1"/>
  <c r="T7" i="9"/>
  <c r="O7" i="10" s="1"/>
  <c r="T11" i="8"/>
  <c r="O11" i="9" s="1"/>
  <c r="E7" i="8"/>
  <c r="E11" i="7"/>
  <c r="E25" i="7" s="1"/>
  <c r="S50" i="7"/>
  <c r="K7" i="8"/>
  <c r="K11" i="7"/>
  <c r="K25" i="7" s="1"/>
  <c r="Q39" i="8"/>
  <c r="H27" i="9"/>
  <c r="C27" i="10" s="1"/>
  <c r="U27" i="8"/>
  <c r="E45" i="9"/>
  <c r="E49" i="8"/>
  <c r="H41" i="10"/>
  <c r="C41" i="11" s="1"/>
  <c r="U41" i="9"/>
  <c r="H18" i="10"/>
  <c r="C18" i="11" s="1"/>
  <c r="U18" i="9"/>
  <c r="K20" i="9"/>
  <c r="K24" i="8"/>
  <c r="H17" i="10"/>
  <c r="C17" i="11" s="1"/>
  <c r="U17" i="9"/>
  <c r="Q40" i="9"/>
  <c r="Q44" i="8"/>
  <c r="T50" i="7"/>
  <c r="O50" i="8" s="1"/>
  <c r="G34" i="9"/>
  <c r="G38" i="8"/>
  <c r="H7" i="8"/>
  <c r="C7" i="9" s="1"/>
  <c r="U7" i="7"/>
  <c r="U11" i="7" s="1"/>
  <c r="U25" i="7" s="1"/>
  <c r="H11" i="7"/>
  <c r="C11" i="8" s="1"/>
  <c r="O50" i="7"/>
  <c r="G51" i="4"/>
  <c r="M26" i="9"/>
  <c r="M28" i="8"/>
  <c r="T26" i="10"/>
  <c r="O26" i="11" s="1"/>
  <c r="T28" i="9"/>
  <c r="O28" i="10" s="1"/>
  <c r="H13" i="10"/>
  <c r="C13" i="11" s="1"/>
  <c r="U13" i="9"/>
  <c r="H45" i="9"/>
  <c r="C45" i="10" s="1"/>
  <c r="U45" i="8"/>
  <c r="H49" i="8"/>
  <c r="C49" i="9" s="1"/>
  <c r="H12" i="9"/>
  <c r="C12" i="10" s="1"/>
  <c r="H15" i="8"/>
  <c r="C15" i="9" s="1"/>
  <c r="U12" i="8"/>
  <c r="U15" i="8" s="1"/>
  <c r="M39" i="7"/>
  <c r="Q50" i="7"/>
  <c r="T29" i="10"/>
  <c r="O29" i="11" s="1"/>
  <c r="T33" i="9"/>
  <c r="O33" i="10" s="1"/>
  <c r="G29" i="9"/>
  <c r="G33" i="8"/>
  <c r="H10" i="9"/>
  <c r="C10" i="10" s="1"/>
  <c r="U10" i="8"/>
  <c r="Q19" i="8"/>
  <c r="Q16" i="9"/>
  <c r="H16" i="9"/>
  <c r="C16" i="10" s="1"/>
  <c r="H19" i="8"/>
  <c r="C19" i="9" s="1"/>
  <c r="U16" i="8"/>
  <c r="U19" i="8" s="1"/>
  <c r="S45" i="9"/>
  <c r="S49" i="8"/>
  <c r="S50" i="8" s="1"/>
  <c r="Q51" i="7"/>
  <c r="K33" i="9"/>
  <c r="K32" i="10"/>
  <c r="H34" i="9"/>
  <c r="C34" i="10" s="1"/>
  <c r="U34" i="8"/>
  <c r="K12" i="9"/>
  <c r="K15" i="8"/>
  <c r="T39" i="7"/>
  <c r="O39" i="8" s="1"/>
  <c r="H21" i="10"/>
  <c r="C21" i="11" s="1"/>
  <c r="U21" i="9"/>
  <c r="G7" i="8"/>
  <c r="G11" i="7"/>
  <c r="G25" i="7" s="1"/>
  <c r="G51" i="7" s="1"/>
  <c r="H9" i="10"/>
  <c r="C9" i="11" s="1"/>
  <c r="M20" i="9"/>
  <c r="M24" i="8"/>
  <c r="S16" i="10"/>
  <c r="S19" i="9"/>
  <c r="E29" i="9"/>
  <c r="E33" i="8"/>
  <c r="K40" i="9"/>
  <c r="K44" i="8"/>
  <c r="M16" i="9"/>
  <c r="M19" i="8"/>
  <c r="S29" i="9"/>
  <c r="S33" i="8"/>
  <c r="G16" i="10"/>
  <c r="G19" i="9"/>
  <c r="H14" i="10"/>
  <c r="C14" i="11" s="1"/>
  <c r="U14" i="9"/>
  <c r="H46" i="10"/>
  <c r="C46" i="11" s="1"/>
  <c r="U46" i="9"/>
  <c r="H23" i="10"/>
  <c r="C23" i="11" s="1"/>
  <c r="U23" i="9"/>
  <c r="S20" i="9"/>
  <c r="S24" i="8"/>
  <c r="E12" i="9"/>
  <c r="E15" i="8"/>
  <c r="M34" i="9"/>
  <c r="M38" i="8"/>
  <c r="Q45" i="9"/>
  <c r="Q49" i="8"/>
  <c r="Q50" i="8" s="1"/>
  <c r="T40" i="9"/>
  <c r="O40" i="10" s="1"/>
  <c r="T44" i="8"/>
  <c r="O44" i="9" s="1"/>
  <c r="Q27" i="13"/>
  <c r="Q27" i="15" s="1"/>
  <c r="Q27" i="17" s="1"/>
  <c r="M7" i="8"/>
  <c r="M11" i="7"/>
  <c r="M25" i="7" s="1"/>
  <c r="M51" i="7" s="1"/>
  <c r="H37" i="9"/>
  <c r="C37" i="10" s="1"/>
  <c r="U37" i="8"/>
  <c r="K39" i="7"/>
  <c r="S7" i="8"/>
  <c r="S11" i="7"/>
  <c r="S25" i="7" s="1"/>
  <c r="M40" i="9"/>
  <c r="M44" i="8"/>
  <c r="E8" i="10"/>
  <c r="E8" i="11" s="1"/>
  <c r="E8" i="12" s="1"/>
  <c r="T34" i="9"/>
  <c r="O34" i="10" s="1"/>
  <c r="T38" i="8"/>
  <c r="O38" i="9" s="1"/>
  <c r="G45" i="9"/>
  <c r="G49" i="8"/>
  <c r="G50" i="8" s="1"/>
  <c r="H20" i="9"/>
  <c r="C20" i="10" s="1"/>
  <c r="U20" i="8"/>
  <c r="U24" i="8" s="1"/>
  <c r="T25" i="7"/>
  <c r="O25" i="8" s="1"/>
  <c r="G20" i="9"/>
  <c r="G24" i="8"/>
  <c r="H30" i="10"/>
  <c r="C30" i="11" s="1"/>
  <c r="U30" i="9"/>
  <c r="H8" i="10"/>
  <c r="C8" i="11" s="1"/>
  <c r="U8" i="9"/>
  <c r="S26" i="9"/>
  <c r="S28" i="8"/>
  <c r="H29" i="9"/>
  <c r="C29" i="10" s="1"/>
  <c r="U29" i="8"/>
  <c r="U33" i="8" s="1"/>
  <c r="H33" i="8"/>
  <c r="C33" i="9" s="1"/>
  <c r="M29" i="9"/>
  <c r="M33" i="8"/>
  <c r="Q12" i="9"/>
  <c r="Q15" i="8"/>
  <c r="T12" i="10"/>
  <c r="O12" i="11" s="1"/>
  <c r="T15" i="9"/>
  <c r="O15" i="10" s="1"/>
  <c r="H32" i="10"/>
  <c r="C32" i="11" s="1"/>
  <c r="U32" i="9"/>
  <c r="E24" i="9"/>
  <c r="E23" i="10"/>
  <c r="Q28" i="9"/>
  <c r="Q26" i="10"/>
  <c r="H24" i="8"/>
  <c r="C24" i="9" s="1"/>
  <c r="H22" i="10"/>
  <c r="C22" i="11" s="1"/>
  <c r="U22" i="9"/>
  <c r="G40" i="9"/>
  <c r="G44" i="8"/>
  <c r="G12" i="9"/>
  <c r="G15" i="8"/>
  <c r="K34" i="9"/>
  <c r="K38" i="8"/>
  <c r="K39" i="8" s="1"/>
  <c r="S12" i="9"/>
  <c r="S15" i="8"/>
  <c r="Q29" i="10"/>
  <c r="Q33" i="9"/>
  <c r="U51" i="4"/>
  <c r="Q11" i="8"/>
  <c r="Q25" i="8" s="1"/>
  <c r="Q51" i="8" s="1"/>
  <c r="Q9" i="9"/>
  <c r="H43" i="9"/>
  <c r="C43" i="10" s="1"/>
  <c r="U43" i="8"/>
  <c r="U44" i="7"/>
  <c r="U50" i="7" s="1"/>
  <c r="C50" i="7"/>
  <c r="H51" i="4"/>
  <c r="C51" i="7" s="1"/>
  <c r="E42" i="9"/>
  <c r="E44" i="8"/>
  <c r="E50" i="8" s="1"/>
  <c r="H50" i="7"/>
  <c r="C50" i="8" s="1"/>
  <c r="E51" i="7"/>
  <c r="H42" i="9"/>
  <c r="C42" i="10" s="1"/>
  <c r="H44" i="8"/>
  <c r="C44" i="9" s="1"/>
  <c r="U42" i="8"/>
  <c r="H39" i="7"/>
  <c r="C39" i="8" s="1"/>
  <c r="H36" i="9"/>
  <c r="C36" i="10" s="1"/>
  <c r="U36" i="8"/>
  <c r="H38" i="8"/>
  <c r="C38" i="9" s="1"/>
  <c r="E34" i="9"/>
  <c r="E38" i="8"/>
  <c r="E39" i="8" s="1"/>
  <c r="H56" i="4"/>
  <c r="T51" i="4" l="1"/>
  <c r="O51" i="7" s="1"/>
  <c r="O30" i="11"/>
  <c r="T30" i="11" s="1"/>
  <c r="O48" i="12"/>
  <c r="T48" i="12" s="1"/>
  <c r="O48" i="13" s="1"/>
  <c r="T48" i="13" s="1"/>
  <c r="O35" i="12"/>
  <c r="T35" i="12" s="1"/>
  <c r="O35" i="13" s="1"/>
  <c r="T35" i="13" s="1"/>
  <c r="O37" i="12"/>
  <c r="T37" i="12" s="1"/>
  <c r="O37" i="13" s="1"/>
  <c r="T37" i="13" s="1"/>
  <c r="O18" i="12"/>
  <c r="T18" i="12" s="1"/>
  <c r="O18" i="13" s="1"/>
  <c r="T18" i="13" s="1"/>
  <c r="O32" i="12"/>
  <c r="T32" i="12" s="1"/>
  <c r="O32" i="13" s="1"/>
  <c r="T32" i="13" s="1"/>
  <c r="O22" i="12"/>
  <c r="T22" i="12" s="1"/>
  <c r="O22" i="13" s="1"/>
  <c r="T22" i="13" s="1"/>
  <c r="O8" i="12"/>
  <c r="T8" i="12" s="1"/>
  <c r="O8" i="13" s="1"/>
  <c r="T8" i="13" s="1"/>
  <c r="O27" i="11"/>
  <c r="T27" i="11" s="1"/>
  <c r="O17" i="12"/>
  <c r="T17" i="12" s="1"/>
  <c r="O17" i="13" s="1"/>
  <c r="T17" i="13" s="1"/>
  <c r="O9" i="10"/>
  <c r="T9" i="10" s="1"/>
  <c r="U9" i="9"/>
  <c r="O14" i="11"/>
  <c r="T14" i="11" s="1"/>
  <c r="O46" i="12"/>
  <c r="T46" i="12" s="1"/>
  <c r="O46" i="13" s="1"/>
  <c r="T46" i="13" s="1"/>
  <c r="O47" i="12"/>
  <c r="T47" i="12" s="1"/>
  <c r="O47" i="13" s="1"/>
  <c r="T47" i="13" s="1"/>
  <c r="O31" i="12"/>
  <c r="T31" i="12" s="1"/>
  <c r="O31" i="13" s="1"/>
  <c r="T31" i="13" s="1"/>
  <c r="O41" i="12"/>
  <c r="T41" i="12" s="1"/>
  <c r="O41" i="13" s="1"/>
  <c r="T41" i="13" s="1"/>
  <c r="O10" i="12"/>
  <c r="T10" i="12" s="1"/>
  <c r="O10" i="13" s="1"/>
  <c r="T10" i="13" s="1"/>
  <c r="O23" i="12"/>
  <c r="T23" i="12" s="1"/>
  <c r="O23" i="13" s="1"/>
  <c r="T23" i="13" s="1"/>
  <c r="O21" i="12"/>
  <c r="T21" i="12" s="1"/>
  <c r="O21" i="13" s="1"/>
  <c r="T21" i="13" s="1"/>
  <c r="O21" i="15" s="1"/>
  <c r="T21" i="15" s="1"/>
  <c r="O21" i="17" s="1"/>
  <c r="T21" i="17" s="1"/>
  <c r="O21" i="18" s="1"/>
  <c r="T21" i="18" s="1"/>
  <c r="O21" i="19" s="1"/>
  <c r="T21" i="19" s="1"/>
  <c r="O13" i="12"/>
  <c r="T13" i="12" s="1"/>
  <c r="O13" i="13" s="1"/>
  <c r="T13" i="13" s="1"/>
  <c r="U38" i="8"/>
  <c r="U49" i="8"/>
  <c r="U51" i="7"/>
  <c r="K51" i="7"/>
  <c r="H30" i="11"/>
  <c r="C30" i="12" s="1"/>
  <c r="U30" i="10"/>
  <c r="H13" i="11"/>
  <c r="C13" i="12" s="1"/>
  <c r="U13" i="10"/>
  <c r="H31" i="11"/>
  <c r="C31" i="12" s="1"/>
  <c r="U31" i="10"/>
  <c r="H41" i="11"/>
  <c r="C41" i="12" s="1"/>
  <c r="U41" i="10"/>
  <c r="H8" i="11"/>
  <c r="C8" i="12" s="1"/>
  <c r="U8" i="10"/>
  <c r="H14" i="11"/>
  <c r="C14" i="12" s="1"/>
  <c r="U14" i="10"/>
  <c r="H9" i="11"/>
  <c r="C9" i="12" s="1"/>
  <c r="H17" i="11"/>
  <c r="C17" i="12" s="1"/>
  <c r="U17" i="10"/>
  <c r="H18" i="11"/>
  <c r="C18" i="12" s="1"/>
  <c r="U18" i="10"/>
  <c r="H35" i="11"/>
  <c r="C35" i="12" s="1"/>
  <c r="U35" i="10"/>
  <c r="T42" i="12"/>
  <c r="G12" i="10"/>
  <c r="G15" i="9"/>
  <c r="Q26" i="11"/>
  <c r="Q28" i="10"/>
  <c r="S26" i="10"/>
  <c r="S28" i="9"/>
  <c r="G20" i="10"/>
  <c r="G24" i="9"/>
  <c r="H20" i="10"/>
  <c r="C20" i="11" s="1"/>
  <c r="H24" i="9"/>
  <c r="C24" i="10" s="1"/>
  <c r="U20" i="9"/>
  <c r="U24" i="9" s="1"/>
  <c r="T34" i="10"/>
  <c r="O34" i="11" s="1"/>
  <c r="T38" i="9"/>
  <c r="O38" i="10" s="1"/>
  <c r="M40" i="10"/>
  <c r="M44" i="9"/>
  <c r="S29" i="10"/>
  <c r="S33" i="9"/>
  <c r="K40" i="10"/>
  <c r="K44" i="9"/>
  <c r="H34" i="10"/>
  <c r="C34" i="11" s="1"/>
  <c r="U34" i="9"/>
  <c r="G29" i="10"/>
  <c r="G33" i="9"/>
  <c r="H12" i="10"/>
  <c r="C12" i="11" s="1"/>
  <c r="H15" i="9"/>
  <c r="C15" i="10" s="1"/>
  <c r="U12" i="9"/>
  <c r="U15" i="9" s="1"/>
  <c r="T26" i="11"/>
  <c r="O26" i="12" s="1"/>
  <c r="T28" i="10"/>
  <c r="O28" i="11" s="1"/>
  <c r="G38" i="9"/>
  <c r="G34" i="10"/>
  <c r="Q40" i="10"/>
  <c r="Q44" i="9"/>
  <c r="E45" i="10"/>
  <c r="E49" i="9"/>
  <c r="S51" i="7"/>
  <c r="H57" i="7" s="1"/>
  <c r="E19" i="9"/>
  <c r="E16" i="10"/>
  <c r="H40" i="11"/>
  <c r="C40" i="12" s="1"/>
  <c r="H25" i="7"/>
  <c r="C25" i="8" s="1"/>
  <c r="H47" i="11"/>
  <c r="C47" i="12" s="1"/>
  <c r="U47" i="10"/>
  <c r="K45" i="10"/>
  <c r="K49" i="9"/>
  <c r="K50" i="9" s="1"/>
  <c r="T43" i="12"/>
  <c r="T36" i="12"/>
  <c r="K34" i="10"/>
  <c r="K38" i="9"/>
  <c r="K39" i="9" s="1"/>
  <c r="G40" i="10"/>
  <c r="G44" i="9"/>
  <c r="H22" i="11"/>
  <c r="C22" i="12" s="1"/>
  <c r="U22" i="10"/>
  <c r="E24" i="10"/>
  <c r="E23" i="11"/>
  <c r="H32" i="11"/>
  <c r="C32" i="12" s="1"/>
  <c r="U32" i="10"/>
  <c r="Q12" i="10"/>
  <c r="Q15" i="9"/>
  <c r="T51" i="7"/>
  <c r="O51" i="8" s="1"/>
  <c r="E8" i="13"/>
  <c r="E8" i="15" s="1"/>
  <c r="E8" i="17" s="1"/>
  <c r="H37" i="10"/>
  <c r="C37" i="11" s="1"/>
  <c r="U37" i="9"/>
  <c r="Q45" i="10"/>
  <c r="Q49" i="9"/>
  <c r="E12" i="10"/>
  <c r="E15" i="9"/>
  <c r="H46" i="11"/>
  <c r="C46" i="12" s="1"/>
  <c r="U46" i="10"/>
  <c r="M20" i="10"/>
  <c r="M24" i="9"/>
  <c r="H21" i="11"/>
  <c r="C21" i="12" s="1"/>
  <c r="U21" i="10"/>
  <c r="K20" i="10"/>
  <c r="K24" i="9"/>
  <c r="T7" i="10"/>
  <c r="T11" i="9"/>
  <c r="O11" i="10" s="1"/>
  <c r="M12" i="10"/>
  <c r="M15" i="9"/>
  <c r="G26" i="10"/>
  <c r="G28" i="9"/>
  <c r="S40" i="10"/>
  <c r="S44" i="9"/>
  <c r="H48" i="10"/>
  <c r="C48" i="11" s="1"/>
  <c r="U48" i="9"/>
  <c r="U28" i="8"/>
  <c r="T50" i="8"/>
  <c r="O50" i="9" s="1"/>
  <c r="Q20" i="10"/>
  <c r="Q24" i="9"/>
  <c r="K50" i="8"/>
  <c r="E26" i="11"/>
  <c r="E28" i="10"/>
  <c r="H29" i="10"/>
  <c r="C29" i="11" s="1"/>
  <c r="H33" i="9"/>
  <c r="C33" i="10" s="1"/>
  <c r="U29" i="9"/>
  <c r="U33" i="9" s="1"/>
  <c r="G45" i="10"/>
  <c r="G49" i="9"/>
  <c r="G50" i="9" s="1"/>
  <c r="S11" i="8"/>
  <c r="S25" i="8" s="1"/>
  <c r="S7" i="9"/>
  <c r="M39" i="8"/>
  <c r="H23" i="11"/>
  <c r="C23" i="12" s="1"/>
  <c r="U23" i="10"/>
  <c r="G16" i="11"/>
  <c r="G19" i="10"/>
  <c r="M16" i="10"/>
  <c r="M19" i="9"/>
  <c r="E29" i="10"/>
  <c r="E33" i="9"/>
  <c r="K12" i="10"/>
  <c r="K15" i="9"/>
  <c r="H16" i="10"/>
  <c r="C16" i="11" s="1"/>
  <c r="H19" i="9"/>
  <c r="C19" i="10" s="1"/>
  <c r="U16" i="9"/>
  <c r="U19" i="9" s="1"/>
  <c r="H10" i="10"/>
  <c r="C10" i="11" s="1"/>
  <c r="U10" i="9"/>
  <c r="T29" i="11"/>
  <c r="O29" i="12" s="1"/>
  <c r="T33" i="10"/>
  <c r="O33" i="11" s="1"/>
  <c r="M26" i="10"/>
  <c r="M28" i="9"/>
  <c r="H7" i="9"/>
  <c r="C7" i="10" s="1"/>
  <c r="H11" i="8"/>
  <c r="C11" i="9" s="1"/>
  <c r="U7" i="8"/>
  <c r="U11" i="8" s="1"/>
  <c r="U25" i="8" s="1"/>
  <c r="H27" i="10"/>
  <c r="C27" i="11" s="1"/>
  <c r="U27" i="9"/>
  <c r="E7" i="9"/>
  <c r="E11" i="8"/>
  <c r="E25" i="8" s="1"/>
  <c r="E51" i="8" s="1"/>
  <c r="M50" i="8"/>
  <c r="H26" i="10"/>
  <c r="C26" i="11" s="1"/>
  <c r="H28" i="9"/>
  <c r="C28" i="10" s="1"/>
  <c r="U26" i="9"/>
  <c r="T45" i="10"/>
  <c r="O45" i="11" s="1"/>
  <c r="T49" i="9"/>
  <c r="O49" i="10" s="1"/>
  <c r="T25" i="8"/>
  <c r="O25" i="9" s="1"/>
  <c r="S39" i="8"/>
  <c r="S12" i="10"/>
  <c r="S15" i="9"/>
  <c r="T12" i="11"/>
  <c r="O12" i="12" s="1"/>
  <c r="T15" i="10"/>
  <c r="O15" i="11" s="1"/>
  <c r="M29" i="10"/>
  <c r="M33" i="9"/>
  <c r="M7" i="9"/>
  <c r="M11" i="8"/>
  <c r="M25" i="8" s="1"/>
  <c r="T40" i="10"/>
  <c r="O40" i="11" s="1"/>
  <c r="T44" i="9"/>
  <c r="O44" i="10" s="1"/>
  <c r="M34" i="10"/>
  <c r="M38" i="9"/>
  <c r="S20" i="10"/>
  <c r="S24" i="9"/>
  <c r="S16" i="11"/>
  <c r="S19" i="10"/>
  <c r="G7" i="9"/>
  <c r="G11" i="8"/>
  <c r="G25" i="8" s="1"/>
  <c r="K32" i="11"/>
  <c r="K33" i="10"/>
  <c r="S45" i="10"/>
  <c r="S49" i="9"/>
  <c r="S50" i="9" s="1"/>
  <c r="Q19" i="9"/>
  <c r="Q16" i="10"/>
  <c r="H45" i="10"/>
  <c r="C45" i="11" s="1"/>
  <c r="H49" i="9"/>
  <c r="C49" i="10" s="1"/>
  <c r="U45" i="9"/>
  <c r="G39" i="8"/>
  <c r="K7" i="9"/>
  <c r="K11" i="8"/>
  <c r="K25" i="8" s="1"/>
  <c r="T16" i="10"/>
  <c r="O16" i="11" s="1"/>
  <c r="T19" i="9"/>
  <c r="O19" i="10" s="1"/>
  <c r="Q34" i="10"/>
  <c r="Q38" i="9"/>
  <c r="Q39" i="9" s="1"/>
  <c r="M45" i="10"/>
  <c r="M49" i="9"/>
  <c r="M50" i="9" s="1"/>
  <c r="T39" i="8"/>
  <c r="O39" i="9" s="1"/>
  <c r="K28" i="10"/>
  <c r="K27" i="11"/>
  <c r="U40" i="9"/>
  <c r="T20" i="10"/>
  <c r="O20" i="11" s="1"/>
  <c r="T24" i="9"/>
  <c r="O24" i="10" s="1"/>
  <c r="K16" i="10"/>
  <c r="K19" i="9"/>
  <c r="S38" i="9"/>
  <c r="S39" i="9" s="1"/>
  <c r="S34" i="10"/>
  <c r="Q33" i="10"/>
  <c r="Q29" i="11"/>
  <c r="Q9" i="10"/>
  <c r="Q11" i="9"/>
  <c r="Q25" i="9" s="1"/>
  <c r="U44" i="8"/>
  <c r="U50" i="8" s="1"/>
  <c r="H43" i="10"/>
  <c r="C43" i="11" s="1"/>
  <c r="U43" i="9"/>
  <c r="E42" i="10"/>
  <c r="E44" i="9"/>
  <c r="E50" i="9" s="1"/>
  <c r="H50" i="8"/>
  <c r="C50" i="9" s="1"/>
  <c r="H42" i="10"/>
  <c r="C42" i="11" s="1"/>
  <c r="H44" i="9"/>
  <c r="C44" i="10" s="1"/>
  <c r="U42" i="9"/>
  <c r="H36" i="10"/>
  <c r="C36" i="11" s="1"/>
  <c r="H38" i="9"/>
  <c r="C38" i="10" s="1"/>
  <c r="U36" i="9"/>
  <c r="H39" i="8"/>
  <c r="C39" i="9" s="1"/>
  <c r="E34" i="10"/>
  <c r="E38" i="9"/>
  <c r="E39" i="9" s="1"/>
  <c r="N58" i="4"/>
  <c r="L59" i="4"/>
  <c r="J59" i="4"/>
  <c r="H57" i="4"/>
  <c r="H58" i="4"/>
  <c r="H51" i="7" l="1"/>
  <c r="C51" i="8" s="1"/>
  <c r="U39" i="8"/>
  <c r="T39" i="9"/>
  <c r="O39" i="10" s="1"/>
  <c r="O46" i="15"/>
  <c r="T46" i="15" s="1"/>
  <c r="O46" i="17" s="1"/>
  <c r="T46" i="17" s="1"/>
  <c r="O46" i="18" s="1"/>
  <c r="T46" i="18" s="1"/>
  <c r="O46" i="19" s="1"/>
  <c r="T46" i="19" s="1"/>
  <c r="O9" i="11"/>
  <c r="T9" i="11" s="1"/>
  <c r="U9" i="11" s="1"/>
  <c r="U9" i="10"/>
  <c r="O35" i="15"/>
  <c r="T35" i="15" s="1"/>
  <c r="O31" i="15"/>
  <c r="T31" i="15" s="1"/>
  <c r="O31" i="17" s="1"/>
  <c r="T31" i="17" s="1"/>
  <c r="O31" i="18" s="1"/>
  <c r="T31" i="18" s="1"/>
  <c r="O31" i="19" s="1"/>
  <c r="T31" i="19" s="1"/>
  <c r="O18" i="15"/>
  <c r="T18" i="15" s="1"/>
  <c r="O18" i="17" s="1"/>
  <c r="T18" i="17" s="1"/>
  <c r="O18" i="18" s="1"/>
  <c r="T18" i="18" s="1"/>
  <c r="O18" i="19" s="1"/>
  <c r="T18" i="19" s="1"/>
  <c r="O10" i="15"/>
  <c r="T10" i="15" s="1"/>
  <c r="O10" i="17" s="1"/>
  <c r="T10" i="17" s="1"/>
  <c r="O10" i="18" s="1"/>
  <c r="T10" i="18" s="1"/>
  <c r="O10" i="19" s="1"/>
  <c r="T10" i="19" s="1"/>
  <c r="O22" i="15"/>
  <c r="T22" i="15" s="1"/>
  <c r="O22" i="17" s="1"/>
  <c r="T22" i="17" s="1"/>
  <c r="O22" i="18" s="1"/>
  <c r="T22" i="18" s="1"/>
  <c r="O22" i="19" s="1"/>
  <c r="T22" i="19" s="1"/>
  <c r="O27" i="12"/>
  <c r="T27" i="12" s="1"/>
  <c r="O30" i="12"/>
  <c r="T30" i="12" s="1"/>
  <c r="O30" i="13" s="1"/>
  <c r="T30" i="13" s="1"/>
  <c r="O13" i="15"/>
  <c r="T13" i="15" s="1"/>
  <c r="O13" i="17" s="1"/>
  <c r="T13" i="17" s="1"/>
  <c r="O13" i="18" s="1"/>
  <c r="T13" i="18" s="1"/>
  <c r="O13" i="19" s="1"/>
  <c r="T13" i="19" s="1"/>
  <c r="O23" i="15"/>
  <c r="T23" i="15" s="1"/>
  <c r="O23" i="17" s="1"/>
  <c r="T23" i="17" s="1"/>
  <c r="O23" i="18" s="1"/>
  <c r="T23" i="18" s="1"/>
  <c r="O23" i="19" s="1"/>
  <c r="T23" i="19" s="1"/>
  <c r="O41" i="15"/>
  <c r="T41" i="15" s="1"/>
  <c r="O41" i="17" s="1"/>
  <c r="T41" i="17" s="1"/>
  <c r="O41" i="18" s="1"/>
  <c r="T41" i="18" s="1"/>
  <c r="O41" i="19" s="1"/>
  <c r="T41" i="19" s="1"/>
  <c r="O47" i="15"/>
  <c r="T47" i="15" s="1"/>
  <c r="O47" i="17" s="1"/>
  <c r="T47" i="17" s="1"/>
  <c r="O47" i="18" s="1"/>
  <c r="T47" i="18" s="1"/>
  <c r="O47" i="19" s="1"/>
  <c r="T47" i="19" s="1"/>
  <c r="O14" i="12"/>
  <c r="T14" i="12" s="1"/>
  <c r="O36" i="13"/>
  <c r="T36" i="13" s="1"/>
  <c r="O17" i="15"/>
  <c r="T17" i="15" s="1"/>
  <c r="O17" i="17" s="1"/>
  <c r="T17" i="17" s="1"/>
  <c r="O17" i="18" s="1"/>
  <c r="T17" i="18" s="1"/>
  <c r="O17" i="19" s="1"/>
  <c r="T17" i="19" s="1"/>
  <c r="O8" i="15"/>
  <c r="T8" i="15" s="1"/>
  <c r="O8" i="17" s="1"/>
  <c r="T8" i="17" s="1"/>
  <c r="O8" i="18" s="1"/>
  <c r="T8" i="18" s="1"/>
  <c r="O8" i="19" s="1"/>
  <c r="T8" i="19" s="1"/>
  <c r="O32" i="15"/>
  <c r="T32" i="15" s="1"/>
  <c r="O32" i="17" s="1"/>
  <c r="T32" i="17" s="1"/>
  <c r="O32" i="18" s="1"/>
  <c r="T32" i="18" s="1"/>
  <c r="O32" i="19" s="1"/>
  <c r="T32" i="19" s="1"/>
  <c r="O37" i="15"/>
  <c r="T37" i="15" s="1"/>
  <c r="O37" i="17" s="1"/>
  <c r="T37" i="17" s="1"/>
  <c r="O37" i="18" s="1"/>
  <c r="T37" i="18" s="1"/>
  <c r="O37" i="19" s="1"/>
  <c r="T37" i="19" s="1"/>
  <c r="O48" i="15"/>
  <c r="T48" i="15" s="1"/>
  <c r="O48" i="17" s="1"/>
  <c r="T48" i="17" s="1"/>
  <c r="O48" i="18" s="1"/>
  <c r="T48" i="18" s="1"/>
  <c r="O48" i="19" s="1"/>
  <c r="T48" i="19" s="1"/>
  <c r="O43" i="13"/>
  <c r="T43" i="13" s="1"/>
  <c r="O42" i="13"/>
  <c r="T42" i="13" s="1"/>
  <c r="U38" i="9"/>
  <c r="U44" i="9"/>
  <c r="U49" i="9"/>
  <c r="U28" i="9"/>
  <c r="Q50" i="9"/>
  <c r="Q51" i="9" s="1"/>
  <c r="G51" i="8"/>
  <c r="H25" i="8"/>
  <c r="C25" i="9" s="1"/>
  <c r="U51" i="8"/>
  <c r="K51" i="8"/>
  <c r="M39" i="9"/>
  <c r="H27" i="11"/>
  <c r="C27" i="12" s="1"/>
  <c r="U27" i="10"/>
  <c r="H37" i="11"/>
  <c r="C37" i="12" s="1"/>
  <c r="U37" i="10"/>
  <c r="K16" i="11"/>
  <c r="K19" i="10"/>
  <c r="K27" i="12"/>
  <c r="K28" i="11"/>
  <c r="T25" i="9"/>
  <c r="O25" i="10" s="1"/>
  <c r="E7" i="10"/>
  <c r="E11" i="9"/>
  <c r="E25" i="9" s="1"/>
  <c r="M26" i="11"/>
  <c r="M28" i="10"/>
  <c r="H16" i="11"/>
  <c r="C16" i="12" s="1"/>
  <c r="H19" i="10"/>
  <c r="C19" i="11" s="1"/>
  <c r="U16" i="10"/>
  <c r="U19" i="10" s="1"/>
  <c r="G45" i="11"/>
  <c r="G49" i="10"/>
  <c r="E24" i="11"/>
  <c r="E23" i="12"/>
  <c r="G39" i="9"/>
  <c r="K40" i="11"/>
  <c r="K44" i="10"/>
  <c r="M40" i="11"/>
  <c r="M44" i="10"/>
  <c r="H35" i="12"/>
  <c r="C35" i="13" s="1"/>
  <c r="U35" i="11"/>
  <c r="H17" i="12"/>
  <c r="C17" i="13" s="1"/>
  <c r="U17" i="11"/>
  <c r="S34" i="11"/>
  <c r="S38" i="10"/>
  <c r="M45" i="11"/>
  <c r="M49" i="10"/>
  <c r="M50" i="10" s="1"/>
  <c r="T16" i="11"/>
  <c r="O16" i="12" s="1"/>
  <c r="T19" i="10"/>
  <c r="O19" i="11" s="1"/>
  <c r="S45" i="11"/>
  <c r="S49" i="10"/>
  <c r="G7" i="10"/>
  <c r="G11" i="9"/>
  <c r="G25" i="9" s="1"/>
  <c r="G51" i="9" s="1"/>
  <c r="S20" i="11"/>
  <c r="S24" i="10"/>
  <c r="T40" i="11"/>
  <c r="T44" i="10"/>
  <c r="O44" i="11" s="1"/>
  <c r="M29" i="11"/>
  <c r="M33" i="10"/>
  <c r="S12" i="11"/>
  <c r="S15" i="10"/>
  <c r="T50" i="9"/>
  <c r="O50" i="10" s="1"/>
  <c r="H26" i="11"/>
  <c r="C26" i="12" s="1"/>
  <c r="H28" i="10"/>
  <c r="C28" i="11" s="1"/>
  <c r="U26" i="10"/>
  <c r="H10" i="11"/>
  <c r="C10" i="12" s="1"/>
  <c r="U10" i="10"/>
  <c r="E29" i="11"/>
  <c r="E33" i="10"/>
  <c r="G16" i="12"/>
  <c r="G19" i="11"/>
  <c r="S7" i="10"/>
  <c r="S11" i="9"/>
  <c r="S25" i="9" s="1"/>
  <c r="S51" i="9" s="1"/>
  <c r="Q20" i="11"/>
  <c r="Q24" i="10"/>
  <c r="S40" i="11"/>
  <c r="S44" i="10"/>
  <c r="M12" i="11"/>
  <c r="M15" i="10"/>
  <c r="K20" i="11"/>
  <c r="K24" i="10"/>
  <c r="M20" i="11"/>
  <c r="M24" i="10"/>
  <c r="E12" i="11"/>
  <c r="E15" i="10"/>
  <c r="Q12" i="11"/>
  <c r="Q15" i="10"/>
  <c r="G40" i="11"/>
  <c r="G44" i="10"/>
  <c r="K45" i="11"/>
  <c r="K49" i="10"/>
  <c r="U40" i="10"/>
  <c r="H12" i="11"/>
  <c r="C12" i="12" s="1"/>
  <c r="H15" i="10"/>
  <c r="C15" i="11" s="1"/>
  <c r="U12" i="10"/>
  <c r="U15" i="10" s="1"/>
  <c r="H34" i="11"/>
  <c r="C34" i="12" s="1"/>
  <c r="U34" i="10"/>
  <c r="H20" i="11"/>
  <c r="C20" i="12" s="1"/>
  <c r="H24" i="10"/>
  <c r="C24" i="11" s="1"/>
  <c r="U20" i="10"/>
  <c r="U24" i="10" s="1"/>
  <c r="S26" i="11"/>
  <c r="S28" i="10"/>
  <c r="H14" i="12"/>
  <c r="C14" i="13" s="1"/>
  <c r="U14" i="11"/>
  <c r="H41" i="12"/>
  <c r="C41" i="13" s="1"/>
  <c r="U41" i="11"/>
  <c r="H13" i="12"/>
  <c r="C13" i="13" s="1"/>
  <c r="U13" i="11"/>
  <c r="T20" i="11"/>
  <c r="O20" i="12" s="1"/>
  <c r="T24" i="10"/>
  <c r="O24" i="11" s="1"/>
  <c r="Q16" i="11"/>
  <c r="Q19" i="10"/>
  <c r="T45" i="11"/>
  <c r="O45" i="12" s="1"/>
  <c r="T49" i="10"/>
  <c r="O49" i="11" s="1"/>
  <c r="M51" i="8"/>
  <c r="H7" i="10"/>
  <c r="H11" i="9"/>
  <c r="C11" i="10" s="1"/>
  <c r="U7" i="9"/>
  <c r="U11" i="9" s="1"/>
  <c r="U25" i="9" s="1"/>
  <c r="T29" i="12"/>
  <c r="O29" i="13" s="1"/>
  <c r="T33" i="11"/>
  <c r="O33" i="12" s="1"/>
  <c r="K12" i="11"/>
  <c r="K15" i="10"/>
  <c r="S51" i="8"/>
  <c r="E26" i="12"/>
  <c r="E28" i="11"/>
  <c r="H40" i="12"/>
  <c r="C40" i="13" s="1"/>
  <c r="Q40" i="11"/>
  <c r="Q44" i="10"/>
  <c r="T26" i="12"/>
  <c r="O26" i="13" s="1"/>
  <c r="T28" i="11"/>
  <c r="O28" i="12" s="1"/>
  <c r="S29" i="11"/>
  <c r="S33" i="10"/>
  <c r="T34" i="11"/>
  <c r="O34" i="12" s="1"/>
  <c r="T38" i="10"/>
  <c r="O38" i="11" s="1"/>
  <c r="H18" i="12"/>
  <c r="C18" i="13" s="1"/>
  <c r="U18" i="11"/>
  <c r="H9" i="12"/>
  <c r="C9" i="13" s="1"/>
  <c r="Q34" i="11"/>
  <c r="Q38" i="10"/>
  <c r="Q39" i="10" s="1"/>
  <c r="K7" i="10"/>
  <c r="K11" i="9"/>
  <c r="K25" i="9" s="1"/>
  <c r="K51" i="9" s="1"/>
  <c r="H45" i="11"/>
  <c r="C45" i="12" s="1"/>
  <c r="H49" i="10"/>
  <c r="C49" i="11" s="1"/>
  <c r="U45" i="10"/>
  <c r="K32" i="12"/>
  <c r="K33" i="11"/>
  <c r="S16" i="12"/>
  <c r="S19" i="11"/>
  <c r="M34" i="11"/>
  <c r="M38" i="10"/>
  <c r="M39" i="10" s="1"/>
  <c r="M7" i="10"/>
  <c r="M11" i="9"/>
  <c r="M25" i="9" s="1"/>
  <c r="M51" i="9" s="1"/>
  <c r="T12" i="12"/>
  <c r="O12" i="13" s="1"/>
  <c r="T15" i="11"/>
  <c r="O15" i="12" s="1"/>
  <c r="T51" i="8"/>
  <c r="O51" i="9" s="1"/>
  <c r="M16" i="11"/>
  <c r="M19" i="10"/>
  <c r="H23" i="12"/>
  <c r="C23" i="13" s="1"/>
  <c r="U23" i="11"/>
  <c r="H29" i="11"/>
  <c r="C29" i="12" s="1"/>
  <c r="H33" i="10"/>
  <c r="C33" i="11" s="1"/>
  <c r="U29" i="10"/>
  <c r="U33" i="10" s="1"/>
  <c r="H48" i="11"/>
  <c r="C48" i="12" s="1"/>
  <c r="U48" i="10"/>
  <c r="G26" i="11"/>
  <c r="G28" i="10"/>
  <c r="O7" i="11"/>
  <c r="T7" i="11" s="1"/>
  <c r="O7" i="12" s="1"/>
  <c r="T11" i="10"/>
  <c r="O11" i="11" s="1"/>
  <c r="H21" i="12"/>
  <c r="C21" i="13" s="1"/>
  <c r="U21" i="11"/>
  <c r="H46" i="12"/>
  <c r="C46" i="13" s="1"/>
  <c r="U46" i="11"/>
  <c r="Q45" i="11"/>
  <c r="Q49" i="10"/>
  <c r="H32" i="12"/>
  <c r="C32" i="13" s="1"/>
  <c r="U32" i="11"/>
  <c r="H22" i="12"/>
  <c r="C22" i="13" s="1"/>
  <c r="U22" i="11"/>
  <c r="K34" i="11"/>
  <c r="K38" i="10"/>
  <c r="K39" i="10" s="1"/>
  <c r="H47" i="12"/>
  <c r="C47" i="13" s="1"/>
  <c r="U47" i="11"/>
  <c r="E19" i="10"/>
  <c r="E16" i="11"/>
  <c r="E45" i="11"/>
  <c r="E49" i="10"/>
  <c r="G34" i="11"/>
  <c r="G38" i="10"/>
  <c r="G29" i="11"/>
  <c r="G33" i="10"/>
  <c r="G20" i="11"/>
  <c r="G24" i="10"/>
  <c r="Q26" i="12"/>
  <c r="Q28" i="11"/>
  <c r="G12" i="11"/>
  <c r="G15" i="10"/>
  <c r="H8" i="12"/>
  <c r="C8" i="13" s="1"/>
  <c r="U8" i="11"/>
  <c r="H31" i="12"/>
  <c r="C31" i="13" s="1"/>
  <c r="U31" i="11"/>
  <c r="H30" i="12"/>
  <c r="C30" i="13" s="1"/>
  <c r="U30" i="11"/>
  <c r="Q29" i="12"/>
  <c r="Q33" i="11"/>
  <c r="Q9" i="11"/>
  <c r="Q11" i="10"/>
  <c r="Q25" i="10" s="1"/>
  <c r="H43" i="11"/>
  <c r="C43" i="12" s="1"/>
  <c r="U43" i="10"/>
  <c r="E51" i="9"/>
  <c r="H42" i="11"/>
  <c r="C42" i="12" s="1"/>
  <c r="U42" i="10"/>
  <c r="H44" i="10"/>
  <c r="C44" i="11" s="1"/>
  <c r="H50" i="9"/>
  <c r="C50" i="10" s="1"/>
  <c r="E42" i="11"/>
  <c r="E44" i="10"/>
  <c r="H51" i="8"/>
  <c r="C51" i="9" s="1"/>
  <c r="H36" i="11"/>
  <c r="C36" i="12" s="1"/>
  <c r="U36" i="10"/>
  <c r="H38" i="10"/>
  <c r="C38" i="11" s="1"/>
  <c r="H58" i="7"/>
  <c r="H39" i="9"/>
  <c r="C39" i="10" s="1"/>
  <c r="E34" i="11"/>
  <c r="E38" i="10"/>
  <c r="E39" i="10" s="1"/>
  <c r="U39" i="9" l="1"/>
  <c r="O43" i="15"/>
  <c r="T43" i="15" s="1"/>
  <c r="O43" i="17" s="1"/>
  <c r="T43" i="17" s="1"/>
  <c r="O43" i="18" s="1"/>
  <c r="T43" i="18" s="1"/>
  <c r="O43" i="19" s="1"/>
  <c r="T43" i="19" s="1"/>
  <c r="O36" i="15"/>
  <c r="T36" i="15" s="1"/>
  <c r="O36" i="17" s="1"/>
  <c r="T36" i="17" s="1"/>
  <c r="O36" i="18" s="1"/>
  <c r="T36" i="18" s="1"/>
  <c r="O36" i="19" s="1"/>
  <c r="T36" i="19" s="1"/>
  <c r="O30" i="15"/>
  <c r="T30" i="15" s="1"/>
  <c r="O30" i="17" s="1"/>
  <c r="T30" i="17" s="1"/>
  <c r="O30" i="18" s="1"/>
  <c r="T30" i="18" s="1"/>
  <c r="O30" i="19" s="1"/>
  <c r="T30" i="19" s="1"/>
  <c r="O35" i="17"/>
  <c r="T35" i="17" s="1"/>
  <c r="O35" i="18" s="1"/>
  <c r="T35" i="18" s="1"/>
  <c r="O35" i="19" s="1"/>
  <c r="T35" i="19" s="1"/>
  <c r="O42" i="15"/>
  <c r="T42" i="15" s="1"/>
  <c r="O42" i="17" s="1"/>
  <c r="T42" i="17" s="1"/>
  <c r="O42" i="18" s="1"/>
  <c r="T42" i="18" s="1"/>
  <c r="O42" i="19" s="1"/>
  <c r="T42" i="19" s="1"/>
  <c r="O14" i="13"/>
  <c r="T14" i="13" s="1"/>
  <c r="O27" i="13"/>
  <c r="T27" i="13" s="1"/>
  <c r="U40" i="11"/>
  <c r="O40" i="12"/>
  <c r="O9" i="12"/>
  <c r="T9" i="12" s="1"/>
  <c r="U38" i="10"/>
  <c r="U28" i="10"/>
  <c r="E50" i="10"/>
  <c r="U50" i="9"/>
  <c r="Q50" i="10"/>
  <c r="H57" i="8"/>
  <c r="K50" i="10"/>
  <c r="G39" i="10"/>
  <c r="E16" i="12"/>
  <c r="E19" i="11"/>
  <c r="H29" i="12"/>
  <c r="C29" i="13" s="1"/>
  <c r="H33" i="11"/>
  <c r="C33" i="12" s="1"/>
  <c r="U29" i="11"/>
  <c r="U33" i="11" s="1"/>
  <c r="H45" i="12"/>
  <c r="C45" i="13" s="1"/>
  <c r="H49" i="11"/>
  <c r="C49" i="12" s="1"/>
  <c r="U45" i="11"/>
  <c r="Q34" i="12"/>
  <c r="Q38" i="11"/>
  <c r="Q39" i="11" s="1"/>
  <c r="H18" i="13"/>
  <c r="C18" i="15" s="1"/>
  <c r="U18" i="12"/>
  <c r="K12" i="12"/>
  <c r="K15" i="11"/>
  <c r="T50" i="10"/>
  <c r="O50" i="11" s="1"/>
  <c r="T25" i="10"/>
  <c r="O25" i="11" s="1"/>
  <c r="Q12" i="12"/>
  <c r="Q15" i="11"/>
  <c r="M20" i="12"/>
  <c r="M24" i="11"/>
  <c r="M12" i="12"/>
  <c r="M15" i="11"/>
  <c r="Q20" i="12"/>
  <c r="Q24" i="11"/>
  <c r="G16" i="13"/>
  <c r="G19" i="12"/>
  <c r="H10" i="12"/>
  <c r="C10" i="13" s="1"/>
  <c r="U10" i="11"/>
  <c r="S39" i="10"/>
  <c r="H17" i="13"/>
  <c r="C17" i="15" s="1"/>
  <c r="U17" i="12"/>
  <c r="M40" i="12"/>
  <c r="M44" i="11"/>
  <c r="E24" i="12"/>
  <c r="E23" i="13"/>
  <c r="G50" i="10"/>
  <c r="H16" i="12"/>
  <c r="C16" i="13" s="1"/>
  <c r="H19" i="11"/>
  <c r="C19" i="12" s="1"/>
  <c r="U16" i="11"/>
  <c r="U19" i="11" s="1"/>
  <c r="E7" i="11"/>
  <c r="E11" i="10"/>
  <c r="E25" i="10" s="1"/>
  <c r="H37" i="12"/>
  <c r="C37" i="13" s="1"/>
  <c r="U37" i="11"/>
  <c r="H31" i="13"/>
  <c r="C31" i="15" s="1"/>
  <c r="U31" i="12"/>
  <c r="G12" i="12"/>
  <c r="G15" i="11"/>
  <c r="G20" i="12"/>
  <c r="G24" i="11"/>
  <c r="G34" i="12"/>
  <c r="G38" i="11"/>
  <c r="K34" i="12"/>
  <c r="K38" i="11"/>
  <c r="K39" i="11" s="1"/>
  <c r="H32" i="13"/>
  <c r="C32" i="15" s="1"/>
  <c r="U32" i="12"/>
  <c r="H46" i="13"/>
  <c r="C46" i="15" s="1"/>
  <c r="U46" i="12"/>
  <c r="T7" i="12"/>
  <c r="O7" i="13" s="1"/>
  <c r="T11" i="11"/>
  <c r="O11" i="12" s="1"/>
  <c r="H48" i="12"/>
  <c r="C48" i="13" s="1"/>
  <c r="U48" i="11"/>
  <c r="M16" i="12"/>
  <c r="M19" i="11"/>
  <c r="T12" i="13"/>
  <c r="O12" i="15" s="1"/>
  <c r="T15" i="12"/>
  <c r="O15" i="13" s="1"/>
  <c r="M34" i="12"/>
  <c r="M38" i="11"/>
  <c r="K33" i="12"/>
  <c r="K32" i="13"/>
  <c r="S29" i="12"/>
  <c r="S33" i="11"/>
  <c r="Q40" i="12"/>
  <c r="Q44" i="11"/>
  <c r="E26" i="13"/>
  <c r="E28" i="12"/>
  <c r="H25" i="9"/>
  <c r="C25" i="10" s="1"/>
  <c r="T45" i="12"/>
  <c r="O45" i="13" s="1"/>
  <c r="T49" i="11"/>
  <c r="O49" i="12" s="1"/>
  <c r="T20" i="12"/>
  <c r="O20" i="13" s="1"/>
  <c r="T24" i="11"/>
  <c r="O24" i="12" s="1"/>
  <c r="H41" i="13"/>
  <c r="C41" i="15" s="1"/>
  <c r="U41" i="12"/>
  <c r="H20" i="12"/>
  <c r="C20" i="13" s="1"/>
  <c r="H24" i="11"/>
  <c r="C24" i="12" s="1"/>
  <c r="U20" i="11"/>
  <c r="U24" i="11" s="1"/>
  <c r="K45" i="12"/>
  <c r="K49" i="11"/>
  <c r="G40" i="12"/>
  <c r="G44" i="11"/>
  <c r="H26" i="12"/>
  <c r="C26" i="13" s="1"/>
  <c r="H28" i="11"/>
  <c r="C28" i="12" s="1"/>
  <c r="U26" i="11"/>
  <c r="S12" i="12"/>
  <c r="S15" i="11"/>
  <c r="T40" i="12"/>
  <c r="T44" i="11"/>
  <c r="O44" i="12" s="1"/>
  <c r="G7" i="11"/>
  <c r="G11" i="10"/>
  <c r="G25" i="10" s="1"/>
  <c r="T16" i="12"/>
  <c r="O16" i="13" s="1"/>
  <c r="T19" i="11"/>
  <c r="O19" i="12" s="1"/>
  <c r="S34" i="12"/>
  <c r="S38" i="11"/>
  <c r="G45" i="12"/>
  <c r="G49" i="11"/>
  <c r="G50" i="11" s="1"/>
  <c r="K16" i="12"/>
  <c r="K19" i="11"/>
  <c r="Q51" i="10"/>
  <c r="U49" i="10"/>
  <c r="K7" i="11"/>
  <c r="K11" i="10"/>
  <c r="K25" i="10" s="1"/>
  <c r="K51" i="10" s="1"/>
  <c r="H9" i="13"/>
  <c r="C9" i="15" s="1"/>
  <c r="C7" i="11"/>
  <c r="H7" i="11" s="1"/>
  <c r="C7" i="12" s="1"/>
  <c r="H11" i="10"/>
  <c r="C11" i="11" s="1"/>
  <c r="U7" i="10"/>
  <c r="U11" i="10" s="1"/>
  <c r="U25" i="10" s="1"/>
  <c r="S26" i="12"/>
  <c r="S28" i="11"/>
  <c r="H12" i="12"/>
  <c r="C12" i="13" s="1"/>
  <c r="H15" i="11"/>
  <c r="C15" i="12" s="1"/>
  <c r="U12" i="11"/>
  <c r="U15" i="11" s="1"/>
  <c r="E12" i="12"/>
  <c r="E15" i="11"/>
  <c r="K20" i="12"/>
  <c r="K24" i="11"/>
  <c r="S40" i="12"/>
  <c r="S44" i="11"/>
  <c r="S7" i="11"/>
  <c r="S11" i="10"/>
  <c r="S25" i="10" s="1"/>
  <c r="E29" i="12"/>
  <c r="E33" i="11"/>
  <c r="T39" i="10"/>
  <c r="O39" i="11" s="1"/>
  <c r="T51" i="9"/>
  <c r="O51" i="10" s="1"/>
  <c r="S50" i="10"/>
  <c r="H35" i="13"/>
  <c r="C35" i="15" s="1"/>
  <c r="U35" i="12"/>
  <c r="K40" i="12"/>
  <c r="K44" i="11"/>
  <c r="M26" i="12"/>
  <c r="M28" i="11"/>
  <c r="H27" i="12"/>
  <c r="C27" i="13" s="1"/>
  <c r="U27" i="11"/>
  <c r="H57" i="9"/>
  <c r="H30" i="13"/>
  <c r="C30" i="15" s="1"/>
  <c r="U30" i="12"/>
  <c r="H8" i="13"/>
  <c r="C8" i="15" s="1"/>
  <c r="U8" i="12"/>
  <c r="Q26" i="13"/>
  <c r="Q28" i="12"/>
  <c r="G29" i="12"/>
  <c r="G33" i="11"/>
  <c r="E45" i="12"/>
  <c r="E49" i="11"/>
  <c r="H47" i="13"/>
  <c r="C47" i="15" s="1"/>
  <c r="U47" i="12"/>
  <c r="H22" i="13"/>
  <c r="C22" i="15" s="1"/>
  <c r="U22" i="12"/>
  <c r="Q45" i="12"/>
  <c r="Q49" i="11"/>
  <c r="Q50" i="11" s="1"/>
  <c r="H21" i="13"/>
  <c r="C21" i="15" s="1"/>
  <c r="U21" i="12"/>
  <c r="G26" i="12"/>
  <c r="G28" i="11"/>
  <c r="H23" i="13"/>
  <c r="C23" i="15" s="1"/>
  <c r="U23" i="12"/>
  <c r="M7" i="11"/>
  <c r="M11" i="10"/>
  <c r="M25" i="10" s="1"/>
  <c r="M51" i="10" s="1"/>
  <c r="S16" i="13"/>
  <c r="S19" i="12"/>
  <c r="T34" i="12"/>
  <c r="O34" i="13" s="1"/>
  <c r="T38" i="11"/>
  <c r="O38" i="12" s="1"/>
  <c r="T26" i="13"/>
  <c r="O26" i="15" s="1"/>
  <c r="T28" i="12"/>
  <c r="O28" i="13" s="1"/>
  <c r="H40" i="13"/>
  <c r="C40" i="15" s="1"/>
  <c r="T29" i="13"/>
  <c r="O29" i="15" s="1"/>
  <c r="T33" i="12"/>
  <c r="O33" i="13" s="1"/>
  <c r="Q16" i="12"/>
  <c r="Q19" i="11"/>
  <c r="H13" i="13"/>
  <c r="C13" i="15" s="1"/>
  <c r="U13" i="12"/>
  <c r="H14" i="13"/>
  <c r="C14" i="15" s="1"/>
  <c r="U14" i="12"/>
  <c r="H34" i="12"/>
  <c r="C34" i="13" s="1"/>
  <c r="U34" i="11"/>
  <c r="M29" i="12"/>
  <c r="M33" i="11"/>
  <c r="S20" i="12"/>
  <c r="S24" i="11"/>
  <c r="S45" i="12"/>
  <c r="S49" i="11"/>
  <c r="S50" i="11" s="1"/>
  <c r="M45" i="12"/>
  <c r="M49" i="11"/>
  <c r="M50" i="11" s="1"/>
  <c r="K28" i="12"/>
  <c r="K27" i="13"/>
  <c r="Q29" i="13"/>
  <c r="Q33" i="12"/>
  <c r="Q11" i="11"/>
  <c r="Q25" i="11" s="1"/>
  <c r="Q9" i="12"/>
  <c r="U44" i="10"/>
  <c r="H43" i="12"/>
  <c r="C43" i="13" s="1"/>
  <c r="U43" i="11"/>
  <c r="H50" i="10"/>
  <c r="C50" i="11" s="1"/>
  <c r="E42" i="12"/>
  <c r="E44" i="11"/>
  <c r="H42" i="12"/>
  <c r="C42" i="13" s="1"/>
  <c r="U42" i="11"/>
  <c r="H44" i="11"/>
  <c r="C44" i="12" s="1"/>
  <c r="H58" i="8"/>
  <c r="H36" i="12"/>
  <c r="C36" i="13" s="1"/>
  <c r="U36" i="11"/>
  <c r="H38" i="11"/>
  <c r="C38" i="12" s="1"/>
  <c r="H39" i="10"/>
  <c r="C39" i="11" s="1"/>
  <c r="E34" i="12"/>
  <c r="E38" i="11"/>
  <c r="U51" i="9" l="1"/>
  <c r="U50" i="10"/>
  <c r="H51" i="9"/>
  <c r="C51" i="10" s="1"/>
  <c r="O27" i="15"/>
  <c r="T27" i="15" s="1"/>
  <c r="O9" i="13"/>
  <c r="T9" i="13" s="1"/>
  <c r="U9" i="13" s="1"/>
  <c r="U9" i="12"/>
  <c r="U39" i="10"/>
  <c r="O14" i="15"/>
  <c r="T14" i="15" s="1"/>
  <c r="O14" i="17" s="1"/>
  <c r="T14" i="17" s="1"/>
  <c r="O14" i="18" s="1"/>
  <c r="T14" i="18" s="1"/>
  <c r="O14" i="19" s="1"/>
  <c r="T14" i="19" s="1"/>
  <c r="U40" i="12"/>
  <c r="O40" i="13"/>
  <c r="U38" i="11"/>
  <c r="E51" i="10"/>
  <c r="E39" i="11"/>
  <c r="H25" i="10"/>
  <c r="C25" i="11" s="1"/>
  <c r="S20" i="13"/>
  <c r="S24" i="12"/>
  <c r="S45" i="13"/>
  <c r="S49" i="12"/>
  <c r="M29" i="13"/>
  <c r="M33" i="12"/>
  <c r="T39" i="11"/>
  <c r="O39" i="12" s="1"/>
  <c r="M26" i="13"/>
  <c r="M28" i="12"/>
  <c r="H12" i="13"/>
  <c r="C12" i="15" s="1"/>
  <c r="H15" i="12"/>
  <c r="C15" i="13" s="1"/>
  <c r="U12" i="12"/>
  <c r="U15" i="12" s="1"/>
  <c r="T16" i="13"/>
  <c r="O16" i="15" s="1"/>
  <c r="T19" i="12"/>
  <c r="O19" i="13" s="1"/>
  <c r="T40" i="13"/>
  <c r="O40" i="15" s="1"/>
  <c r="T44" i="12"/>
  <c r="O44" i="13" s="1"/>
  <c r="G40" i="13"/>
  <c r="G44" i="12"/>
  <c r="M34" i="13"/>
  <c r="M38" i="12"/>
  <c r="M39" i="12" s="1"/>
  <c r="M16" i="13"/>
  <c r="M19" i="12"/>
  <c r="T7" i="13"/>
  <c r="O7" i="15" s="1"/>
  <c r="T11" i="12"/>
  <c r="O11" i="13" s="1"/>
  <c r="H32" i="15"/>
  <c r="C32" i="17" s="1"/>
  <c r="U32" i="13"/>
  <c r="G34" i="13"/>
  <c r="G38" i="12"/>
  <c r="G12" i="13"/>
  <c r="G15" i="12"/>
  <c r="H37" i="13"/>
  <c r="C37" i="15" s="1"/>
  <c r="U37" i="12"/>
  <c r="H17" i="15"/>
  <c r="C17" i="17" s="1"/>
  <c r="U17" i="13"/>
  <c r="T51" i="10"/>
  <c r="O51" i="11" s="1"/>
  <c r="U49" i="11"/>
  <c r="Q51" i="11"/>
  <c r="E50" i="11"/>
  <c r="K28" i="13"/>
  <c r="K27" i="15"/>
  <c r="H14" i="15"/>
  <c r="C14" i="17" s="1"/>
  <c r="U14" i="13"/>
  <c r="Q16" i="13"/>
  <c r="Q19" i="12"/>
  <c r="H40" i="15"/>
  <c r="C40" i="17" s="1"/>
  <c r="T34" i="13"/>
  <c r="O34" i="15" s="1"/>
  <c r="T38" i="12"/>
  <c r="O38" i="13" s="1"/>
  <c r="M7" i="12"/>
  <c r="M11" i="11"/>
  <c r="G26" i="13"/>
  <c r="G28" i="12"/>
  <c r="Q45" i="13"/>
  <c r="Q49" i="12"/>
  <c r="H47" i="15"/>
  <c r="C47" i="17" s="1"/>
  <c r="U47" i="13"/>
  <c r="G29" i="13"/>
  <c r="G33" i="12"/>
  <c r="H8" i="15"/>
  <c r="C8" i="17" s="1"/>
  <c r="U8" i="13"/>
  <c r="H35" i="15"/>
  <c r="C35" i="17" s="1"/>
  <c r="U35" i="13"/>
  <c r="E29" i="13"/>
  <c r="E33" i="12"/>
  <c r="S40" i="13"/>
  <c r="S44" i="12"/>
  <c r="S50" i="12" s="1"/>
  <c r="E12" i="13"/>
  <c r="E15" i="12"/>
  <c r="H7" i="12"/>
  <c r="C7" i="13" s="1"/>
  <c r="H11" i="11"/>
  <c r="C11" i="12" s="1"/>
  <c r="U7" i="11"/>
  <c r="U11" i="11" s="1"/>
  <c r="U25" i="11" s="1"/>
  <c r="K7" i="12"/>
  <c r="K11" i="11"/>
  <c r="K25" i="11" s="1"/>
  <c r="K16" i="13"/>
  <c r="K19" i="12"/>
  <c r="S39" i="11"/>
  <c r="H26" i="13"/>
  <c r="C26" i="15" s="1"/>
  <c r="H28" i="12"/>
  <c r="C28" i="13" s="1"/>
  <c r="U26" i="12"/>
  <c r="K50" i="11"/>
  <c r="H20" i="13"/>
  <c r="C20" i="15" s="1"/>
  <c r="H24" i="12"/>
  <c r="C24" i="13" s="1"/>
  <c r="U20" i="12"/>
  <c r="U24" i="12" s="1"/>
  <c r="T20" i="13"/>
  <c r="O20" i="15" s="1"/>
  <c r="T24" i="12"/>
  <c r="O24" i="13" s="1"/>
  <c r="Q40" i="13"/>
  <c r="Q44" i="12"/>
  <c r="K33" i="13"/>
  <c r="K32" i="15"/>
  <c r="H16" i="13"/>
  <c r="C16" i="15" s="1"/>
  <c r="H19" i="12"/>
  <c r="C19" i="13" s="1"/>
  <c r="U16" i="12"/>
  <c r="U19" i="12" s="1"/>
  <c r="G16" i="15"/>
  <c r="G19" i="13"/>
  <c r="M12" i="13"/>
  <c r="M15" i="12"/>
  <c r="Q12" i="13"/>
  <c r="Q15" i="12"/>
  <c r="H18" i="15"/>
  <c r="C18" i="17" s="1"/>
  <c r="U18" i="13"/>
  <c r="H29" i="13"/>
  <c r="C29" i="15" s="1"/>
  <c r="H33" i="12"/>
  <c r="C33" i="13" s="1"/>
  <c r="U29" i="12"/>
  <c r="U33" i="12" s="1"/>
  <c r="H27" i="13"/>
  <c r="C27" i="15" s="1"/>
  <c r="U27" i="12"/>
  <c r="S26" i="13"/>
  <c r="S28" i="12"/>
  <c r="S34" i="13"/>
  <c r="S38" i="12"/>
  <c r="G7" i="12"/>
  <c r="G11" i="11"/>
  <c r="G25" i="11" s="1"/>
  <c r="S12" i="13"/>
  <c r="S15" i="12"/>
  <c r="K45" i="13"/>
  <c r="K49" i="12"/>
  <c r="T50" i="11"/>
  <c r="O50" i="12" s="1"/>
  <c r="T12" i="15"/>
  <c r="O12" i="17" s="1"/>
  <c r="T15" i="13"/>
  <c r="O15" i="15" s="1"/>
  <c r="H48" i="13"/>
  <c r="C48" i="15" s="1"/>
  <c r="U48" i="12"/>
  <c r="H46" i="15"/>
  <c r="C46" i="17" s="1"/>
  <c r="U46" i="13"/>
  <c r="K34" i="13"/>
  <c r="K38" i="12"/>
  <c r="K39" i="12" s="1"/>
  <c r="G20" i="13"/>
  <c r="G24" i="12"/>
  <c r="H31" i="15"/>
  <c r="C31" i="17" s="1"/>
  <c r="U31" i="13"/>
  <c r="E7" i="12"/>
  <c r="E11" i="11"/>
  <c r="E25" i="11" s="1"/>
  <c r="G51" i="10"/>
  <c r="M40" i="13"/>
  <c r="M44" i="12"/>
  <c r="M25" i="11"/>
  <c r="H45" i="13"/>
  <c r="C45" i="15" s="1"/>
  <c r="H49" i="12"/>
  <c r="C49" i="13" s="1"/>
  <c r="U45" i="12"/>
  <c r="M45" i="13"/>
  <c r="M49" i="12"/>
  <c r="H34" i="13"/>
  <c r="C34" i="15" s="1"/>
  <c r="U34" i="12"/>
  <c r="H13" i="15"/>
  <c r="C13" i="17" s="1"/>
  <c r="U13" i="13"/>
  <c r="T29" i="15"/>
  <c r="O29" i="17" s="1"/>
  <c r="T33" i="13"/>
  <c r="O33" i="15" s="1"/>
  <c r="T26" i="15"/>
  <c r="O26" i="17" s="1"/>
  <c r="T28" i="13"/>
  <c r="O28" i="15" s="1"/>
  <c r="S16" i="15"/>
  <c r="S19" i="13"/>
  <c r="H23" i="15"/>
  <c r="C23" i="17" s="1"/>
  <c r="U23" i="13"/>
  <c r="H21" i="15"/>
  <c r="C21" i="17" s="1"/>
  <c r="U21" i="13"/>
  <c r="H22" i="15"/>
  <c r="C22" i="17" s="1"/>
  <c r="U22" i="13"/>
  <c r="E45" i="13"/>
  <c r="E49" i="12"/>
  <c r="Q28" i="13"/>
  <c r="Q26" i="15"/>
  <c r="H30" i="15"/>
  <c r="C30" i="17" s="1"/>
  <c r="U30" i="13"/>
  <c r="K40" i="13"/>
  <c r="K44" i="12"/>
  <c r="K50" i="12" s="1"/>
  <c r="S51" i="10"/>
  <c r="S7" i="12"/>
  <c r="S11" i="11"/>
  <c r="S25" i="11" s="1"/>
  <c r="S51" i="11" s="1"/>
  <c r="K20" i="13"/>
  <c r="K24" i="12"/>
  <c r="H9" i="15"/>
  <c r="C9" i="17" s="1"/>
  <c r="G45" i="13"/>
  <c r="G49" i="12"/>
  <c r="T25" i="11"/>
  <c r="O25" i="12" s="1"/>
  <c r="U28" i="11"/>
  <c r="H41" i="15"/>
  <c r="C41" i="17" s="1"/>
  <c r="U41" i="13"/>
  <c r="T45" i="13"/>
  <c r="O45" i="15" s="1"/>
  <c r="T49" i="12"/>
  <c r="O49" i="13" s="1"/>
  <c r="E26" i="15"/>
  <c r="E28" i="13"/>
  <c r="S29" i="13"/>
  <c r="S33" i="12"/>
  <c r="M39" i="11"/>
  <c r="M51" i="11" s="1"/>
  <c r="G39" i="11"/>
  <c r="G51" i="11" s="1"/>
  <c r="E24" i="13"/>
  <c r="E23" i="15"/>
  <c r="H10" i="13"/>
  <c r="C10" i="15" s="1"/>
  <c r="U10" i="12"/>
  <c r="Q24" i="12"/>
  <c r="Q20" i="13"/>
  <c r="M20" i="13"/>
  <c r="M24" i="12"/>
  <c r="K12" i="13"/>
  <c r="K15" i="12"/>
  <c r="Q34" i="13"/>
  <c r="Q38" i="12"/>
  <c r="Q39" i="12" s="1"/>
  <c r="E19" i="12"/>
  <c r="E16" i="13"/>
  <c r="U44" i="11"/>
  <c r="Q29" i="15"/>
  <c r="Q33" i="13"/>
  <c r="Q11" i="12"/>
  <c r="Q25" i="12" s="1"/>
  <c r="Q9" i="13"/>
  <c r="U43" i="12"/>
  <c r="H43" i="13"/>
  <c r="C43" i="15" s="1"/>
  <c r="H50" i="11"/>
  <c r="C50" i="12" s="1"/>
  <c r="E42" i="13"/>
  <c r="E44" i="12"/>
  <c r="U42" i="12"/>
  <c r="H42" i="13"/>
  <c r="C42" i="15" s="1"/>
  <c r="H44" i="12"/>
  <c r="C44" i="13" s="1"/>
  <c r="H58" i="9"/>
  <c r="U36" i="12"/>
  <c r="H36" i="13"/>
  <c r="C36" i="15" s="1"/>
  <c r="H38" i="12"/>
  <c r="C38" i="13" s="1"/>
  <c r="H39" i="11"/>
  <c r="C39" i="12" s="1"/>
  <c r="E34" i="13"/>
  <c r="E38" i="12"/>
  <c r="E39" i="12" s="1"/>
  <c r="U51" i="10" l="1"/>
  <c r="U40" i="13"/>
  <c r="O27" i="17"/>
  <c r="T27" i="17" s="1"/>
  <c r="O27" i="18" s="1"/>
  <c r="O9" i="15"/>
  <c r="T9" i="15" s="1"/>
  <c r="U38" i="12"/>
  <c r="U39" i="11"/>
  <c r="H51" i="10"/>
  <c r="U50" i="11"/>
  <c r="Q50" i="12"/>
  <c r="E50" i="12"/>
  <c r="U49" i="12"/>
  <c r="H57" i="10"/>
  <c r="E51" i="11"/>
  <c r="H35" i="17"/>
  <c r="C35" i="18" s="1"/>
  <c r="H35" i="18" s="1"/>
  <c r="U35" i="15"/>
  <c r="Q34" i="15"/>
  <c r="Q38" i="13"/>
  <c r="Q39" i="13" s="1"/>
  <c r="M20" i="15"/>
  <c r="M24" i="13"/>
  <c r="H10" i="15"/>
  <c r="C10" i="17" s="1"/>
  <c r="U10" i="13"/>
  <c r="E26" i="17"/>
  <c r="E28" i="17" s="1"/>
  <c r="E28" i="15"/>
  <c r="H41" i="17"/>
  <c r="C41" i="18" s="1"/>
  <c r="H41" i="18" s="1"/>
  <c r="U41" i="15"/>
  <c r="H9" i="17"/>
  <c r="C9" i="18" s="1"/>
  <c r="H9" i="18" s="1"/>
  <c r="C9" i="19" s="1"/>
  <c r="H9" i="19" s="1"/>
  <c r="S7" i="13"/>
  <c r="S11" i="12"/>
  <c r="S25" i="12" s="1"/>
  <c r="M50" i="12"/>
  <c r="E7" i="13"/>
  <c r="E11" i="12"/>
  <c r="E25" i="12" s="1"/>
  <c r="G20" i="15"/>
  <c r="G24" i="13"/>
  <c r="H46" i="17"/>
  <c r="C46" i="18" s="1"/>
  <c r="H46" i="18" s="1"/>
  <c r="U46" i="15"/>
  <c r="T12" i="17"/>
  <c r="O12" i="18" s="1"/>
  <c r="T15" i="15"/>
  <c r="O15" i="17" s="1"/>
  <c r="K49" i="13"/>
  <c r="K45" i="15"/>
  <c r="G7" i="13"/>
  <c r="G11" i="12"/>
  <c r="G25" i="12" s="1"/>
  <c r="H27" i="15"/>
  <c r="C27" i="17" s="1"/>
  <c r="U27" i="13"/>
  <c r="H29" i="15"/>
  <c r="C29" i="17" s="1"/>
  <c r="H33" i="13"/>
  <c r="C33" i="15" s="1"/>
  <c r="U29" i="13"/>
  <c r="U33" i="13" s="1"/>
  <c r="Q12" i="15"/>
  <c r="Q15" i="13"/>
  <c r="G16" i="17"/>
  <c r="G19" i="17" s="1"/>
  <c r="G19" i="15"/>
  <c r="Q40" i="15"/>
  <c r="Q44" i="13"/>
  <c r="K19" i="13"/>
  <c r="K16" i="15"/>
  <c r="H8" i="17"/>
  <c r="C8" i="18" s="1"/>
  <c r="H8" i="18" s="1"/>
  <c r="U8" i="15"/>
  <c r="H47" i="17"/>
  <c r="C47" i="18" s="1"/>
  <c r="H47" i="18" s="1"/>
  <c r="U47" i="15"/>
  <c r="G26" i="15"/>
  <c r="G28" i="13"/>
  <c r="T34" i="15"/>
  <c r="O34" i="17" s="1"/>
  <c r="T38" i="13"/>
  <c r="O38" i="15" s="1"/>
  <c r="Q19" i="13"/>
  <c r="Q16" i="15"/>
  <c r="T39" i="12"/>
  <c r="O39" i="13" s="1"/>
  <c r="T25" i="12"/>
  <c r="O25" i="13" s="1"/>
  <c r="M16" i="15"/>
  <c r="M19" i="13"/>
  <c r="T40" i="15"/>
  <c r="O40" i="17" s="1"/>
  <c r="T44" i="13"/>
  <c r="O44" i="15" s="1"/>
  <c r="M26" i="15"/>
  <c r="M28" i="13"/>
  <c r="M29" i="15"/>
  <c r="M33" i="13"/>
  <c r="Q51" i="12"/>
  <c r="E19" i="13"/>
  <c r="E16" i="15"/>
  <c r="Q24" i="13"/>
  <c r="Q20" i="15"/>
  <c r="E24" i="15"/>
  <c r="E23" i="17"/>
  <c r="E24" i="17" s="1"/>
  <c r="H30" i="17"/>
  <c r="C30" i="18" s="1"/>
  <c r="H30" i="18" s="1"/>
  <c r="U30" i="15"/>
  <c r="E45" i="15"/>
  <c r="E49" i="13"/>
  <c r="H21" i="17"/>
  <c r="C21" i="18" s="1"/>
  <c r="H21" i="18" s="1"/>
  <c r="C21" i="19" s="1"/>
  <c r="H21" i="19" s="1"/>
  <c r="U21" i="19" s="1"/>
  <c r="U21" i="15"/>
  <c r="S16" i="17"/>
  <c r="S19" i="17" s="1"/>
  <c r="S19" i="15"/>
  <c r="T29" i="17"/>
  <c r="O29" i="18" s="1"/>
  <c r="T33" i="15"/>
  <c r="O33" i="17" s="1"/>
  <c r="H34" i="15"/>
  <c r="C34" i="17" s="1"/>
  <c r="U34" i="13"/>
  <c r="M40" i="15"/>
  <c r="M44" i="13"/>
  <c r="T51" i="11"/>
  <c r="O51" i="12" s="1"/>
  <c r="S39" i="12"/>
  <c r="K33" i="15"/>
  <c r="K32" i="17"/>
  <c r="K33" i="17" s="1"/>
  <c r="H20" i="15"/>
  <c r="C20" i="17" s="1"/>
  <c r="U20" i="13"/>
  <c r="U24" i="13" s="1"/>
  <c r="H24" i="13"/>
  <c r="C24" i="15" s="1"/>
  <c r="H26" i="15"/>
  <c r="C26" i="17" s="1"/>
  <c r="U26" i="13"/>
  <c r="H28" i="13"/>
  <c r="C28" i="15" s="1"/>
  <c r="H7" i="13"/>
  <c r="C7" i="15" s="1"/>
  <c r="H11" i="12"/>
  <c r="C11" i="13" s="1"/>
  <c r="S40" i="15"/>
  <c r="S44" i="13"/>
  <c r="K28" i="15"/>
  <c r="K27" i="17"/>
  <c r="K28" i="17" s="1"/>
  <c r="H37" i="15"/>
  <c r="C37" i="17" s="1"/>
  <c r="U37" i="13"/>
  <c r="G34" i="15"/>
  <c r="G38" i="13"/>
  <c r="T7" i="15"/>
  <c r="O7" i="17" s="1"/>
  <c r="T11" i="13"/>
  <c r="O11" i="15" s="1"/>
  <c r="G50" i="12"/>
  <c r="S20" i="15"/>
  <c r="S24" i="13"/>
  <c r="K12" i="15"/>
  <c r="K15" i="13"/>
  <c r="S29" i="15"/>
  <c r="S33" i="13"/>
  <c r="T45" i="15"/>
  <c r="O45" i="17" s="1"/>
  <c r="T49" i="13"/>
  <c r="O49" i="15" s="1"/>
  <c r="G45" i="15"/>
  <c r="G49" i="13"/>
  <c r="K20" i="15"/>
  <c r="K24" i="13"/>
  <c r="Q26" i="17"/>
  <c r="Q28" i="17" s="1"/>
  <c r="Q28" i="15"/>
  <c r="M45" i="15"/>
  <c r="M49" i="13"/>
  <c r="H45" i="15"/>
  <c r="C45" i="17" s="1"/>
  <c r="H49" i="13"/>
  <c r="C49" i="15" s="1"/>
  <c r="U45" i="13"/>
  <c r="H31" i="17"/>
  <c r="C31" i="18" s="1"/>
  <c r="H31" i="18" s="1"/>
  <c r="U31" i="15"/>
  <c r="K34" i="15"/>
  <c r="K38" i="13"/>
  <c r="K39" i="13" s="1"/>
  <c r="H48" i="15"/>
  <c r="C48" i="17" s="1"/>
  <c r="U48" i="13"/>
  <c r="S12" i="15"/>
  <c r="S15" i="13"/>
  <c r="S34" i="15"/>
  <c r="S38" i="13"/>
  <c r="S26" i="15"/>
  <c r="S28" i="13"/>
  <c r="H18" i="17"/>
  <c r="C18" i="18" s="1"/>
  <c r="H18" i="18" s="1"/>
  <c r="U18" i="15"/>
  <c r="M12" i="15"/>
  <c r="M15" i="13"/>
  <c r="T20" i="15"/>
  <c r="O20" i="17" s="1"/>
  <c r="T24" i="13"/>
  <c r="O24" i="15" s="1"/>
  <c r="K51" i="11"/>
  <c r="K7" i="13"/>
  <c r="K11" i="12"/>
  <c r="K25" i="12" s="1"/>
  <c r="K51" i="12" s="1"/>
  <c r="G29" i="15"/>
  <c r="G33" i="13"/>
  <c r="Q45" i="15"/>
  <c r="Q49" i="13"/>
  <c r="Q50" i="13" s="1"/>
  <c r="M7" i="13"/>
  <c r="M11" i="12"/>
  <c r="M25" i="12" s="1"/>
  <c r="M51" i="12" s="1"/>
  <c r="H40" i="17"/>
  <c r="C40" i="18" s="1"/>
  <c r="U40" i="15"/>
  <c r="H14" i="17"/>
  <c r="C14" i="18" s="1"/>
  <c r="H14" i="18" s="1"/>
  <c r="U14" i="15"/>
  <c r="U7" i="12"/>
  <c r="U11" i="12" s="1"/>
  <c r="U25" i="12" s="1"/>
  <c r="M34" i="15"/>
  <c r="M38" i="13"/>
  <c r="G40" i="15"/>
  <c r="G44" i="13"/>
  <c r="T16" i="15"/>
  <c r="O16" i="17" s="1"/>
  <c r="T19" i="13"/>
  <c r="O19" i="15" s="1"/>
  <c r="H12" i="15"/>
  <c r="C12" i="17" s="1"/>
  <c r="H15" i="13"/>
  <c r="C15" i="15" s="1"/>
  <c r="U12" i="13"/>
  <c r="U15" i="13" s="1"/>
  <c r="S45" i="15"/>
  <c r="S49" i="13"/>
  <c r="S50" i="13" s="1"/>
  <c r="K40" i="15"/>
  <c r="K44" i="13"/>
  <c r="H22" i="17"/>
  <c r="C22" i="18" s="1"/>
  <c r="H22" i="18" s="1"/>
  <c r="U22" i="15"/>
  <c r="H23" i="17"/>
  <c r="C23" i="18" s="1"/>
  <c r="H23" i="18" s="1"/>
  <c r="U23" i="15"/>
  <c r="T26" i="17"/>
  <c r="O26" i="18" s="1"/>
  <c r="T26" i="18" s="1"/>
  <c r="O26" i="19" s="1"/>
  <c r="T28" i="15"/>
  <c r="O28" i="17" s="1"/>
  <c r="H13" i="17"/>
  <c r="C13" i="18" s="1"/>
  <c r="H13" i="18" s="1"/>
  <c r="U13" i="15"/>
  <c r="H16" i="15"/>
  <c r="C16" i="17" s="1"/>
  <c r="H19" i="13"/>
  <c r="C19" i="15" s="1"/>
  <c r="U16" i="13"/>
  <c r="U19" i="13" s="1"/>
  <c r="U28" i="12"/>
  <c r="U39" i="12" s="1"/>
  <c r="E12" i="15"/>
  <c r="E15" i="13"/>
  <c r="E29" i="15"/>
  <c r="E33" i="13"/>
  <c r="G39" i="12"/>
  <c r="H17" i="17"/>
  <c r="C17" i="18" s="1"/>
  <c r="H17" i="18" s="1"/>
  <c r="U17" i="15"/>
  <c r="G12" i="15"/>
  <c r="G15" i="13"/>
  <c r="H32" i="17"/>
  <c r="C32" i="18" s="1"/>
  <c r="H32" i="18" s="1"/>
  <c r="U32" i="15"/>
  <c r="H25" i="11"/>
  <c r="C25" i="12" s="1"/>
  <c r="T50" i="12"/>
  <c r="O50" i="13" s="1"/>
  <c r="U44" i="12"/>
  <c r="Q33" i="15"/>
  <c r="Q29" i="17"/>
  <c r="Q33" i="17" s="1"/>
  <c r="Q9" i="15"/>
  <c r="Q11" i="13"/>
  <c r="Q25" i="13" s="1"/>
  <c r="E51" i="12"/>
  <c r="H43" i="15"/>
  <c r="C43" i="17" s="1"/>
  <c r="U43" i="13"/>
  <c r="E42" i="15"/>
  <c r="E44" i="13"/>
  <c r="E50" i="13" s="1"/>
  <c r="H42" i="15"/>
  <c r="C42" i="17" s="1"/>
  <c r="U42" i="13"/>
  <c r="H44" i="13"/>
  <c r="C44" i="15" s="1"/>
  <c r="H50" i="12"/>
  <c r="C50" i="13" s="1"/>
  <c r="H36" i="15"/>
  <c r="C36" i="17" s="1"/>
  <c r="U36" i="13"/>
  <c r="H38" i="13"/>
  <c r="C38" i="15" s="1"/>
  <c r="H39" i="12"/>
  <c r="C39" i="13" s="1"/>
  <c r="E34" i="15"/>
  <c r="E38" i="13"/>
  <c r="E39" i="13" s="1"/>
  <c r="U38" i="13" l="1"/>
  <c r="U13" i="18"/>
  <c r="C13" i="19"/>
  <c r="H13" i="19" s="1"/>
  <c r="U13" i="19" s="1"/>
  <c r="U23" i="18"/>
  <c r="C23" i="19"/>
  <c r="H23" i="19" s="1"/>
  <c r="U47" i="18"/>
  <c r="C47" i="19"/>
  <c r="H47" i="19" s="1"/>
  <c r="U47" i="19" s="1"/>
  <c r="U32" i="18"/>
  <c r="C32" i="19"/>
  <c r="H32" i="19" s="1"/>
  <c r="U32" i="19" s="1"/>
  <c r="U17" i="18"/>
  <c r="C17" i="19"/>
  <c r="H17" i="19" s="1"/>
  <c r="U17" i="19" s="1"/>
  <c r="U41" i="18"/>
  <c r="C41" i="19"/>
  <c r="H41" i="19" s="1"/>
  <c r="U41" i="19" s="1"/>
  <c r="T26" i="19"/>
  <c r="U22" i="18"/>
  <c r="C22" i="19"/>
  <c r="H22" i="19" s="1"/>
  <c r="U22" i="19" s="1"/>
  <c r="U14" i="18"/>
  <c r="C14" i="19"/>
  <c r="H14" i="19" s="1"/>
  <c r="U14" i="19" s="1"/>
  <c r="U8" i="18"/>
  <c r="C8" i="19"/>
  <c r="H8" i="19" s="1"/>
  <c r="U8" i="19" s="1"/>
  <c r="U18" i="18"/>
  <c r="C18" i="19"/>
  <c r="H18" i="19" s="1"/>
  <c r="U18" i="19" s="1"/>
  <c r="U31" i="18"/>
  <c r="C31" i="19"/>
  <c r="H31" i="19" s="1"/>
  <c r="U31" i="19" s="1"/>
  <c r="U30" i="18"/>
  <c r="C30" i="19"/>
  <c r="H30" i="19" s="1"/>
  <c r="U30" i="19" s="1"/>
  <c r="U46" i="18"/>
  <c r="C46" i="19"/>
  <c r="H46" i="19" s="1"/>
  <c r="U46" i="19" s="1"/>
  <c r="U35" i="18"/>
  <c r="C35" i="19"/>
  <c r="H35" i="19" s="1"/>
  <c r="U35" i="19" s="1"/>
  <c r="O33" i="18"/>
  <c r="T29" i="18"/>
  <c r="U21" i="18"/>
  <c r="H40" i="18"/>
  <c r="C40" i="19" s="1"/>
  <c r="T12" i="18"/>
  <c r="O15" i="18"/>
  <c r="O28" i="18"/>
  <c r="T27" i="18"/>
  <c r="U18" i="17"/>
  <c r="U31" i="17"/>
  <c r="T33" i="17"/>
  <c r="U21" i="17"/>
  <c r="U30" i="17"/>
  <c r="U46" i="17"/>
  <c r="U13" i="17"/>
  <c r="U23" i="17"/>
  <c r="U47" i="17"/>
  <c r="U32" i="17"/>
  <c r="T15" i="17"/>
  <c r="U41" i="17"/>
  <c r="U17" i="17"/>
  <c r="U22" i="17"/>
  <c r="U14" i="17"/>
  <c r="U8" i="17"/>
  <c r="O9" i="17"/>
  <c r="T9" i="17" s="1"/>
  <c r="O9" i="18" s="1"/>
  <c r="T9" i="18" s="1"/>
  <c r="U9" i="15"/>
  <c r="T28" i="17"/>
  <c r="H58" i="10"/>
  <c r="C51" i="11"/>
  <c r="U51" i="11"/>
  <c r="H51" i="11"/>
  <c r="C51" i="12" s="1"/>
  <c r="U50" i="12"/>
  <c r="U51" i="12" s="1"/>
  <c r="T25" i="13"/>
  <c r="O25" i="15" s="1"/>
  <c r="M50" i="13"/>
  <c r="M39" i="13"/>
  <c r="U49" i="13"/>
  <c r="U28" i="13"/>
  <c r="U39" i="13" s="1"/>
  <c r="H37" i="17"/>
  <c r="C37" i="18" s="1"/>
  <c r="H37" i="18" s="1"/>
  <c r="U37" i="15"/>
  <c r="E12" i="17"/>
  <c r="E15" i="17" s="1"/>
  <c r="E15" i="15"/>
  <c r="E29" i="17"/>
  <c r="E33" i="17" s="1"/>
  <c r="E33" i="15"/>
  <c r="S45" i="17"/>
  <c r="S49" i="17" s="1"/>
  <c r="S49" i="15"/>
  <c r="M7" i="15"/>
  <c r="M11" i="13"/>
  <c r="G29" i="17"/>
  <c r="G33" i="17" s="1"/>
  <c r="G33" i="15"/>
  <c r="S39" i="13"/>
  <c r="H45" i="17"/>
  <c r="C45" i="18" s="1"/>
  <c r="H49" i="15"/>
  <c r="C49" i="17" s="1"/>
  <c r="U45" i="15"/>
  <c r="G50" i="13"/>
  <c r="K12" i="17"/>
  <c r="K15" i="17" s="1"/>
  <c r="K15" i="15"/>
  <c r="G34" i="17"/>
  <c r="G38" i="17" s="1"/>
  <c r="G38" i="15"/>
  <c r="H25" i="12"/>
  <c r="C25" i="13" s="1"/>
  <c r="H26" i="17"/>
  <c r="C26" i="18" s="1"/>
  <c r="H26" i="18" s="1"/>
  <c r="C26" i="19" s="1"/>
  <c r="H28" i="15"/>
  <c r="C28" i="17" s="1"/>
  <c r="U26" i="15"/>
  <c r="H34" i="17"/>
  <c r="C34" i="18" s="1"/>
  <c r="H34" i="18" s="1"/>
  <c r="C34" i="19" s="1"/>
  <c r="U34" i="15"/>
  <c r="E45" i="17"/>
  <c r="E49" i="17" s="1"/>
  <c r="E49" i="15"/>
  <c r="T34" i="17"/>
  <c r="O34" i="18" s="1"/>
  <c r="T34" i="18" s="1"/>
  <c r="T38" i="15"/>
  <c r="O38" i="17" s="1"/>
  <c r="G51" i="12"/>
  <c r="S7" i="15"/>
  <c r="S11" i="13"/>
  <c r="S25" i="13" s="1"/>
  <c r="H10" i="17"/>
  <c r="C10" i="18" s="1"/>
  <c r="H10" i="18" s="1"/>
  <c r="U10" i="15"/>
  <c r="Q38" i="15"/>
  <c r="Q39" i="15" s="1"/>
  <c r="Q34" i="17"/>
  <c r="Q38" i="17" s="1"/>
  <c r="H16" i="17"/>
  <c r="C16" i="18" s="1"/>
  <c r="H19" i="15"/>
  <c r="C19" i="17" s="1"/>
  <c r="U16" i="15"/>
  <c r="U19" i="15" s="1"/>
  <c r="K40" i="17"/>
  <c r="K44" i="17" s="1"/>
  <c r="K44" i="15"/>
  <c r="T16" i="17"/>
  <c r="O16" i="18" s="1"/>
  <c r="T19" i="15"/>
  <c r="O19" i="17" s="1"/>
  <c r="M34" i="17"/>
  <c r="M38" i="17" s="1"/>
  <c r="M38" i="15"/>
  <c r="T20" i="17"/>
  <c r="O20" i="18" s="1"/>
  <c r="T24" i="15"/>
  <c r="O24" i="17" s="1"/>
  <c r="S34" i="17"/>
  <c r="S38" i="17" s="1"/>
  <c r="S38" i="15"/>
  <c r="H48" i="17"/>
  <c r="C48" i="18" s="1"/>
  <c r="H48" i="18" s="1"/>
  <c r="U48" i="15"/>
  <c r="G45" i="17"/>
  <c r="G49" i="17" s="1"/>
  <c r="G49" i="15"/>
  <c r="S29" i="17"/>
  <c r="S33" i="17" s="1"/>
  <c r="S33" i="15"/>
  <c r="H7" i="15"/>
  <c r="C7" i="17" s="1"/>
  <c r="U7" i="13"/>
  <c r="U11" i="13" s="1"/>
  <c r="U25" i="13" s="1"/>
  <c r="H11" i="13"/>
  <c r="C11" i="15" s="1"/>
  <c r="Q24" i="15"/>
  <c r="Q20" i="17"/>
  <c r="Q24" i="17" s="1"/>
  <c r="M26" i="17"/>
  <c r="M28" i="17" s="1"/>
  <c r="M28" i="15"/>
  <c r="M16" i="17"/>
  <c r="M19" i="17" s="1"/>
  <c r="M19" i="15"/>
  <c r="Q19" i="15"/>
  <c r="Q16" i="17"/>
  <c r="Q19" i="17" s="1"/>
  <c r="H29" i="17"/>
  <c r="C29" i="18" s="1"/>
  <c r="H33" i="15"/>
  <c r="C33" i="17" s="1"/>
  <c r="U29" i="15"/>
  <c r="U33" i="15" s="1"/>
  <c r="G7" i="15"/>
  <c r="G11" i="13"/>
  <c r="G25" i="13" s="1"/>
  <c r="G20" i="17"/>
  <c r="G24" i="17" s="1"/>
  <c r="G24" i="15"/>
  <c r="M25" i="13"/>
  <c r="Q39" i="17"/>
  <c r="G12" i="17"/>
  <c r="G15" i="17" s="1"/>
  <c r="G15" i="15"/>
  <c r="Q45" i="17"/>
  <c r="Q49" i="17" s="1"/>
  <c r="Q49" i="15"/>
  <c r="K7" i="15"/>
  <c r="K11" i="13"/>
  <c r="K25" i="13" s="1"/>
  <c r="M45" i="17"/>
  <c r="M49" i="17" s="1"/>
  <c r="M49" i="15"/>
  <c r="T7" i="17"/>
  <c r="O7" i="18" s="1"/>
  <c r="T11" i="15"/>
  <c r="O11" i="17" s="1"/>
  <c r="M40" i="17"/>
  <c r="M44" i="17" s="1"/>
  <c r="M44" i="15"/>
  <c r="T50" i="13"/>
  <c r="O50" i="15" s="1"/>
  <c r="T51" i="12"/>
  <c r="O51" i="13" s="1"/>
  <c r="G26" i="17"/>
  <c r="G28" i="17" s="1"/>
  <c r="G28" i="15"/>
  <c r="Q40" i="17"/>
  <c r="Q44" i="17" s="1"/>
  <c r="Q44" i="15"/>
  <c r="Q12" i="17"/>
  <c r="Q15" i="17" s="1"/>
  <c r="Q15" i="15"/>
  <c r="K45" i="17"/>
  <c r="K49" i="17" s="1"/>
  <c r="K50" i="17" s="1"/>
  <c r="K49" i="15"/>
  <c r="K50" i="15" s="1"/>
  <c r="M20" i="17"/>
  <c r="M24" i="17" s="1"/>
  <c r="M24" i="15"/>
  <c r="U35" i="17"/>
  <c r="Q51" i="13"/>
  <c r="H12" i="17"/>
  <c r="C12" i="18" s="1"/>
  <c r="H15" i="15"/>
  <c r="C15" i="17" s="1"/>
  <c r="U12" i="15"/>
  <c r="U15" i="15" s="1"/>
  <c r="G40" i="17"/>
  <c r="G44" i="17" s="1"/>
  <c r="G44" i="15"/>
  <c r="M12" i="17"/>
  <c r="M15" i="17" s="1"/>
  <c r="M15" i="15"/>
  <c r="S26" i="17"/>
  <c r="S28" i="17" s="1"/>
  <c r="S28" i="15"/>
  <c r="S12" i="17"/>
  <c r="S15" i="17" s="1"/>
  <c r="S15" i="15"/>
  <c r="K34" i="17"/>
  <c r="K38" i="17" s="1"/>
  <c r="K39" i="17" s="1"/>
  <c r="K38" i="15"/>
  <c r="K39" i="15" s="1"/>
  <c r="K20" i="17"/>
  <c r="K24" i="17" s="1"/>
  <c r="K24" i="15"/>
  <c r="T45" i="17"/>
  <c r="O45" i="18" s="1"/>
  <c r="T49" i="15"/>
  <c r="O49" i="17" s="1"/>
  <c r="S20" i="17"/>
  <c r="S24" i="17" s="1"/>
  <c r="S24" i="15"/>
  <c r="G39" i="13"/>
  <c r="S40" i="17"/>
  <c r="S44" i="17" s="1"/>
  <c r="S44" i="15"/>
  <c r="H20" i="17"/>
  <c r="C20" i="18" s="1"/>
  <c r="H24" i="15"/>
  <c r="C24" i="17" s="1"/>
  <c r="U20" i="15"/>
  <c r="U24" i="15" s="1"/>
  <c r="E16" i="17"/>
  <c r="E19" i="17" s="1"/>
  <c r="E19" i="15"/>
  <c r="M29" i="17"/>
  <c r="M33" i="17" s="1"/>
  <c r="M33" i="15"/>
  <c r="T40" i="17"/>
  <c r="O40" i="18" s="1"/>
  <c r="T44" i="15"/>
  <c r="O44" i="17" s="1"/>
  <c r="T39" i="13"/>
  <c r="O39" i="15" s="1"/>
  <c r="K16" i="17"/>
  <c r="K19" i="17" s="1"/>
  <c r="K19" i="15"/>
  <c r="H27" i="17"/>
  <c r="C27" i="18" s="1"/>
  <c r="U27" i="15"/>
  <c r="K50" i="13"/>
  <c r="E7" i="15"/>
  <c r="E11" i="13"/>
  <c r="E25" i="13" s="1"/>
  <c r="E51" i="13" s="1"/>
  <c r="S51" i="12"/>
  <c r="H57" i="12" s="1"/>
  <c r="H57" i="11"/>
  <c r="Q9" i="17"/>
  <c r="Q11" i="17" s="1"/>
  <c r="Q25" i="17" s="1"/>
  <c r="Q11" i="15"/>
  <c r="Q25" i="15" s="1"/>
  <c r="U44" i="13"/>
  <c r="H43" i="17"/>
  <c r="C43" i="18" s="1"/>
  <c r="H43" i="18" s="1"/>
  <c r="U43" i="15"/>
  <c r="H42" i="17"/>
  <c r="C42" i="18" s="1"/>
  <c r="H42" i="18" s="1"/>
  <c r="U42" i="15"/>
  <c r="H44" i="15"/>
  <c r="C44" i="17" s="1"/>
  <c r="E42" i="17"/>
  <c r="E44" i="17" s="1"/>
  <c r="E50" i="17" s="1"/>
  <c r="E44" i="15"/>
  <c r="E50" i="15" s="1"/>
  <c r="H50" i="13"/>
  <c r="C50" i="15" s="1"/>
  <c r="H36" i="17"/>
  <c r="C36" i="18" s="1"/>
  <c r="H36" i="18" s="1"/>
  <c r="U36" i="15"/>
  <c r="H38" i="15"/>
  <c r="C38" i="17" s="1"/>
  <c r="H39" i="13"/>
  <c r="C39" i="15" s="1"/>
  <c r="E34" i="17"/>
  <c r="E38" i="17" s="1"/>
  <c r="E39" i="17" s="1"/>
  <c r="E38" i="15"/>
  <c r="E39" i="15" s="1"/>
  <c r="U23" i="19" l="1"/>
  <c r="U36" i="18"/>
  <c r="C36" i="19"/>
  <c r="H36" i="19" s="1"/>
  <c r="U36" i="19" s="1"/>
  <c r="U43" i="18"/>
  <c r="C43" i="19"/>
  <c r="H43" i="19" s="1"/>
  <c r="U43" i="19" s="1"/>
  <c r="U48" i="18"/>
  <c r="C48" i="19"/>
  <c r="H48" i="19" s="1"/>
  <c r="U48" i="19" s="1"/>
  <c r="U9" i="18"/>
  <c r="O9" i="19"/>
  <c r="T9" i="19" s="1"/>
  <c r="U9" i="19" s="1"/>
  <c r="T15" i="18"/>
  <c r="O12" i="19"/>
  <c r="O15" i="19" s="1"/>
  <c r="H26" i="19"/>
  <c r="T28" i="18"/>
  <c r="O27" i="19"/>
  <c r="O28" i="19" s="1"/>
  <c r="H40" i="19"/>
  <c r="U10" i="18"/>
  <c r="C10" i="19"/>
  <c r="H10" i="19" s="1"/>
  <c r="U10" i="19" s="1"/>
  <c r="T38" i="18"/>
  <c r="O34" i="19"/>
  <c r="O38" i="19" s="1"/>
  <c r="H34" i="19"/>
  <c r="U42" i="18"/>
  <c r="C42" i="19"/>
  <c r="H42" i="19" s="1"/>
  <c r="U42" i="19" s="1"/>
  <c r="U37" i="18"/>
  <c r="C37" i="19"/>
  <c r="H37" i="19" s="1"/>
  <c r="U37" i="19" s="1"/>
  <c r="T33" i="18"/>
  <c r="O29" i="19"/>
  <c r="O33" i="19" s="1"/>
  <c r="U9" i="17"/>
  <c r="T40" i="18"/>
  <c r="O44" i="18"/>
  <c r="T45" i="18"/>
  <c r="O49" i="18"/>
  <c r="H16" i="18"/>
  <c r="C16" i="19" s="1"/>
  <c r="C19" i="19" s="1"/>
  <c r="C19" i="18"/>
  <c r="U26" i="18"/>
  <c r="C33" i="18"/>
  <c r="H29" i="18"/>
  <c r="C29" i="19" s="1"/>
  <c r="C33" i="19" s="1"/>
  <c r="C28" i="18"/>
  <c r="H27" i="18"/>
  <c r="C24" i="18"/>
  <c r="H20" i="18"/>
  <c r="C20" i="19" s="1"/>
  <c r="C24" i="19" s="1"/>
  <c r="T7" i="18"/>
  <c r="O11" i="18"/>
  <c r="H38" i="18"/>
  <c r="U34" i="18"/>
  <c r="C49" i="18"/>
  <c r="H45" i="18"/>
  <c r="C45" i="19" s="1"/>
  <c r="C44" i="18"/>
  <c r="H44" i="18"/>
  <c r="C15" i="18"/>
  <c r="H12" i="18"/>
  <c r="C12" i="19" s="1"/>
  <c r="C15" i="19" s="1"/>
  <c r="T20" i="18"/>
  <c r="O24" i="18"/>
  <c r="T16" i="18"/>
  <c r="O19" i="18"/>
  <c r="U10" i="17"/>
  <c r="U37" i="17"/>
  <c r="U27" i="17"/>
  <c r="T44" i="17"/>
  <c r="T11" i="17"/>
  <c r="T38" i="17"/>
  <c r="O38" i="18" s="1"/>
  <c r="O39" i="18" s="1"/>
  <c r="T49" i="17"/>
  <c r="U48" i="17"/>
  <c r="T24" i="17"/>
  <c r="T19" i="17"/>
  <c r="H51" i="12"/>
  <c r="C51" i="13" s="1"/>
  <c r="U50" i="13"/>
  <c r="U38" i="15"/>
  <c r="H58" i="11"/>
  <c r="M51" i="13"/>
  <c r="T39" i="15"/>
  <c r="O39" i="17" s="1"/>
  <c r="G50" i="15"/>
  <c r="Q50" i="17"/>
  <c r="Q51" i="17" s="1"/>
  <c r="S51" i="13"/>
  <c r="M50" i="17"/>
  <c r="K51" i="13"/>
  <c r="H24" i="17"/>
  <c r="U20" i="17"/>
  <c r="U24" i="17" s="1"/>
  <c r="T51" i="13"/>
  <c r="O51" i="15" s="1"/>
  <c r="M50" i="15"/>
  <c r="Q50" i="15"/>
  <c r="Q51" i="15" s="1"/>
  <c r="G7" i="17"/>
  <c r="G11" i="17" s="1"/>
  <c r="G11" i="15"/>
  <c r="G25" i="15" s="1"/>
  <c r="H7" i="17"/>
  <c r="C7" i="18" s="1"/>
  <c r="H11" i="15"/>
  <c r="C11" i="17" s="1"/>
  <c r="U7" i="15"/>
  <c r="U11" i="15" s="1"/>
  <c r="U25" i="15" s="1"/>
  <c r="G50" i="17"/>
  <c r="S39" i="15"/>
  <c r="M39" i="15"/>
  <c r="U16" i="17"/>
  <c r="U19" i="17" s="1"/>
  <c r="H19" i="17"/>
  <c r="U28" i="15"/>
  <c r="H49" i="17"/>
  <c r="U45" i="17"/>
  <c r="U51" i="13"/>
  <c r="S39" i="17"/>
  <c r="M39" i="17"/>
  <c r="G39" i="15"/>
  <c r="G51" i="13"/>
  <c r="M7" i="17"/>
  <c r="M11" i="17" s="1"/>
  <c r="M25" i="17" s="1"/>
  <c r="M11" i="15"/>
  <c r="M25" i="15" s="1"/>
  <c r="H25" i="13"/>
  <c r="C25" i="15" s="1"/>
  <c r="T50" i="15"/>
  <c r="O50" i="17" s="1"/>
  <c r="H15" i="17"/>
  <c r="U12" i="17"/>
  <c r="U15" i="17" s="1"/>
  <c r="U40" i="17"/>
  <c r="G25" i="17"/>
  <c r="T25" i="15"/>
  <c r="O25" i="17" s="1"/>
  <c r="U26" i="17"/>
  <c r="U28" i="17" s="1"/>
  <c r="H28" i="17"/>
  <c r="G39" i="17"/>
  <c r="U49" i="15"/>
  <c r="S50" i="15"/>
  <c r="E7" i="17"/>
  <c r="E11" i="17" s="1"/>
  <c r="E25" i="17" s="1"/>
  <c r="E51" i="17" s="1"/>
  <c r="E11" i="15"/>
  <c r="E25" i="15" s="1"/>
  <c r="E51" i="15" s="1"/>
  <c r="K7" i="17"/>
  <c r="K11" i="17" s="1"/>
  <c r="K25" i="17" s="1"/>
  <c r="K51" i="17" s="1"/>
  <c r="K11" i="15"/>
  <c r="K25" i="15" s="1"/>
  <c r="K51" i="15" s="1"/>
  <c r="H33" i="17"/>
  <c r="U29" i="17"/>
  <c r="U33" i="17" s="1"/>
  <c r="S7" i="17"/>
  <c r="S11" i="17" s="1"/>
  <c r="S25" i="17" s="1"/>
  <c r="S11" i="15"/>
  <c r="S25" i="15" s="1"/>
  <c r="U34" i="17"/>
  <c r="S50" i="17"/>
  <c r="U44" i="15"/>
  <c r="U43" i="17"/>
  <c r="H50" i="15"/>
  <c r="C50" i="17" s="1"/>
  <c r="U42" i="17"/>
  <c r="H44" i="17"/>
  <c r="H39" i="15"/>
  <c r="C39" i="17" s="1"/>
  <c r="H58" i="12"/>
  <c r="U36" i="17"/>
  <c r="H38" i="17"/>
  <c r="C38" i="18" s="1"/>
  <c r="C39" i="18" s="1"/>
  <c r="U38" i="18" l="1"/>
  <c r="C49" i="19"/>
  <c r="O39" i="19"/>
  <c r="H38" i="19"/>
  <c r="H44" i="19"/>
  <c r="C38" i="19"/>
  <c r="C44" i="19"/>
  <c r="C50" i="19" s="1"/>
  <c r="T39" i="18"/>
  <c r="T11" i="18"/>
  <c r="O7" i="19"/>
  <c r="O11" i="19" s="1"/>
  <c r="T29" i="19"/>
  <c r="T33" i="19" s="1"/>
  <c r="T34" i="19"/>
  <c r="T38" i="19" s="1"/>
  <c r="U26" i="19"/>
  <c r="H20" i="19"/>
  <c r="H24" i="19" s="1"/>
  <c r="H29" i="19"/>
  <c r="H33" i="19" s="1"/>
  <c r="H16" i="19"/>
  <c r="H19" i="19" s="1"/>
  <c r="T44" i="18"/>
  <c r="O40" i="19"/>
  <c r="O44" i="19" s="1"/>
  <c r="T24" i="18"/>
  <c r="O20" i="19"/>
  <c r="O24" i="19" s="1"/>
  <c r="H12" i="19"/>
  <c r="H15" i="19" s="1"/>
  <c r="H45" i="19"/>
  <c r="H49" i="19" s="1"/>
  <c r="H50" i="19" s="1"/>
  <c r="T27" i="19"/>
  <c r="T28" i="19" s="1"/>
  <c r="T12" i="19"/>
  <c r="T15" i="19" s="1"/>
  <c r="T19" i="18"/>
  <c r="O16" i="19"/>
  <c r="O19" i="19" s="1"/>
  <c r="U27" i="18"/>
  <c r="U28" i="18" s="1"/>
  <c r="C27" i="19"/>
  <c r="C28" i="19" s="1"/>
  <c r="T49" i="18"/>
  <c r="T50" i="18" s="1"/>
  <c r="O45" i="19"/>
  <c r="O49" i="19" s="1"/>
  <c r="U40" i="18"/>
  <c r="U44" i="18" s="1"/>
  <c r="U49" i="17"/>
  <c r="C50" i="18"/>
  <c r="H28" i="18"/>
  <c r="O50" i="18"/>
  <c r="H15" i="18"/>
  <c r="U12" i="18"/>
  <c r="U15" i="18" s="1"/>
  <c r="U20" i="18"/>
  <c r="U24" i="18" s="1"/>
  <c r="H24" i="18"/>
  <c r="U29" i="18"/>
  <c r="U33" i="18" s="1"/>
  <c r="H33" i="18"/>
  <c r="H7" i="18"/>
  <c r="C7" i="19" s="1"/>
  <c r="C11" i="19" s="1"/>
  <c r="C25" i="19" s="1"/>
  <c r="C11" i="18"/>
  <c r="C25" i="18" s="1"/>
  <c r="O25" i="18"/>
  <c r="U45" i="18"/>
  <c r="U49" i="18" s="1"/>
  <c r="H49" i="18"/>
  <c r="H50" i="18" s="1"/>
  <c r="H19" i="18"/>
  <c r="U16" i="18"/>
  <c r="U19" i="18" s="1"/>
  <c r="T25" i="17"/>
  <c r="T50" i="17"/>
  <c r="T39" i="17"/>
  <c r="U39" i="15"/>
  <c r="H50" i="17"/>
  <c r="H51" i="13"/>
  <c r="C51" i="15" s="1"/>
  <c r="U50" i="15"/>
  <c r="H57" i="13"/>
  <c r="G51" i="15"/>
  <c r="U38" i="17"/>
  <c r="U39" i="17" s="1"/>
  <c r="M51" i="17"/>
  <c r="H39" i="17"/>
  <c r="G51" i="17"/>
  <c r="S51" i="17"/>
  <c r="S51" i="15"/>
  <c r="H25" i="15"/>
  <c r="C25" i="17" s="1"/>
  <c r="T51" i="15"/>
  <c r="O51" i="17" s="1"/>
  <c r="U7" i="17"/>
  <c r="U11" i="17" s="1"/>
  <c r="U25" i="17" s="1"/>
  <c r="H11" i="17"/>
  <c r="M51" i="15"/>
  <c r="U44" i="17"/>
  <c r="H39" i="18" l="1"/>
  <c r="T25" i="18"/>
  <c r="T51" i="18" s="1"/>
  <c r="U39" i="18"/>
  <c r="T39" i="19"/>
  <c r="U34" i="19"/>
  <c r="U38" i="19" s="1"/>
  <c r="C39" i="19"/>
  <c r="C51" i="19" s="1"/>
  <c r="O25" i="19"/>
  <c r="O50" i="19"/>
  <c r="T45" i="19"/>
  <c r="T49" i="19" s="1"/>
  <c r="T16" i="19"/>
  <c r="T19" i="19" s="1"/>
  <c r="T20" i="19"/>
  <c r="T24" i="19" s="1"/>
  <c r="H7" i="19"/>
  <c r="H11" i="19" s="1"/>
  <c r="H25" i="19" s="1"/>
  <c r="H27" i="19"/>
  <c r="H28" i="19" s="1"/>
  <c r="H39" i="19" s="1"/>
  <c r="U12" i="19"/>
  <c r="U15" i="19" s="1"/>
  <c r="T40" i="19"/>
  <c r="T44" i="19" s="1"/>
  <c r="U29" i="19"/>
  <c r="U33" i="19" s="1"/>
  <c r="T7" i="19"/>
  <c r="T11" i="19" s="1"/>
  <c r="U50" i="17"/>
  <c r="U51" i="17" s="1"/>
  <c r="U50" i="18"/>
  <c r="O51" i="18"/>
  <c r="U7" i="18"/>
  <c r="U11" i="18" s="1"/>
  <c r="U25" i="18" s="1"/>
  <c r="H11" i="18"/>
  <c r="H25" i="18" s="1"/>
  <c r="H51" i="18" s="1"/>
  <c r="C51" i="18"/>
  <c r="H25" i="17"/>
  <c r="T51" i="17"/>
  <c r="U51" i="15"/>
  <c r="H58" i="13"/>
  <c r="H51" i="15"/>
  <c r="H57" i="15"/>
  <c r="H56" i="17"/>
  <c r="T50" i="19" l="1"/>
  <c r="H56" i="18"/>
  <c r="T25" i="19"/>
  <c r="T51" i="19" s="1"/>
  <c r="O51" i="19"/>
  <c r="H51" i="19"/>
  <c r="U16" i="19"/>
  <c r="U19" i="19" s="1"/>
  <c r="U20" i="19"/>
  <c r="U24" i="19" s="1"/>
  <c r="U45" i="19"/>
  <c r="U49" i="19" s="1"/>
  <c r="U51" i="18"/>
  <c r="U7" i="19"/>
  <c r="U11" i="19" s="1"/>
  <c r="U40" i="19"/>
  <c r="U44" i="19" s="1"/>
  <c r="U27" i="19"/>
  <c r="U28" i="19" s="1"/>
  <c r="U39" i="19" s="1"/>
  <c r="H51" i="17"/>
  <c r="H57" i="17" s="1"/>
  <c r="H58" i="15"/>
  <c r="C51" i="17"/>
  <c r="U25" i="19" l="1"/>
  <c r="U50" i="19"/>
  <c r="H56" i="19"/>
  <c r="U51" i="19" l="1"/>
</calcChain>
</file>

<file path=xl/sharedStrings.xml><?xml version="1.0" encoding="utf-8"?>
<sst xmlns="http://schemas.openxmlformats.org/spreadsheetml/2006/main" count="1082" uniqueCount="84">
  <si>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</si>
  <si>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</si>
  <si>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</si>
  <si>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</si>
  <si>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</si>
  <si>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</si>
  <si>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 xml:space="preserve">OB </t>
  </si>
  <si>
    <t>Added During</t>
  </si>
  <si>
    <t>Dismantled during</t>
  </si>
  <si>
    <t>CB</t>
  </si>
  <si>
    <t>OB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</si>
  <si>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</si>
  <si>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</si>
  <si>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</si>
  <si>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</si>
  <si>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</si>
  <si>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</si>
  <si>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</si>
  <si>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</si>
  <si>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</si>
  <si>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</si>
  <si>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</si>
  <si>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 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</si>
  <si>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</si>
  <si>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</si>
  <si>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</si>
  <si>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</si>
  <si>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</si>
  <si>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</si>
  <si>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</si>
  <si>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</si>
  <si>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>Jalahalli</t>
  </si>
  <si>
    <t xml:space="preserve">North Circle  </t>
  </si>
  <si>
    <t xml:space="preserve">BMAZ TOTAL </t>
  </si>
  <si>
    <t>Nelamangala</t>
  </si>
  <si>
    <t>Hosakote</t>
  </si>
  <si>
    <t>BRC Circle</t>
  </si>
  <si>
    <t xml:space="preserve">Ramnagara </t>
  </si>
  <si>
    <t>Magadi</t>
  </si>
  <si>
    <t>Kanakapura</t>
  </si>
  <si>
    <t>Chandapura</t>
  </si>
  <si>
    <t>Ramanagar Circle</t>
  </si>
  <si>
    <t xml:space="preserve">Kolar </t>
  </si>
  <si>
    <t>KGF</t>
  </si>
  <si>
    <t>C.B.Pura</t>
  </si>
  <si>
    <t>Chinthamani</t>
  </si>
  <si>
    <t xml:space="preserve">Kolar Circle 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</si>
  <si>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</si>
  <si>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</si>
  <si>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</si>
  <si>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</si>
  <si>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</si>
  <si>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</si>
  <si>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</si>
  <si>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</si>
  <si>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</si>
  <si>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</si>
  <si>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</si>
  <si>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</si>
  <si>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</si>
  <si>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Added during the month</t>
  </si>
  <si>
    <t>During the year</t>
  </si>
  <si>
    <t>TOTAL LT LINES EXISTING</t>
  </si>
  <si>
    <t>Division-wise LT Over head lines ,U.G. &amp; ABC Cables added &amp; dismantled during the month of April 2023 &amp; during the Year 2023-24 in  Rkm</t>
  </si>
  <si>
    <t>Division-wise LT Over head lines ,U.G. &amp; ABC Cables added &amp; dismantled during the month of March 2023 &amp; during the Year 2022-23 in  Rkm</t>
  </si>
  <si>
    <t>M</t>
  </si>
  <si>
    <t>Division-wise LT Over head lines ,U.G. &amp; ABC Cables added &amp; dismantled during the month of May 2023 &amp; during the Year 2023-24 in  Rkm</t>
  </si>
  <si>
    <t>Division-wise LT Over head lines ,U.G. &amp; ABC Cables added &amp; dismantled during the month of June 2023 &amp; during the Year 2023-24 in  Rkm</t>
  </si>
  <si>
    <t>Division-wise LT Over head lines ,U.G. &amp; ABC Cables added &amp; dismantled during the month of July 2023 &amp; during the Year 2023-24 in  Rkm</t>
  </si>
  <si>
    <t>Division-wise LT Over head lines ,U.G. &amp; ABC Cables added &amp; dismantled during the month of August 2023 &amp; during the Year 2023-24 in  Rkm</t>
  </si>
  <si>
    <t>Division-wise LT Over head lines ,U.G. &amp; ABC Cables added &amp; dismantled during the month of September 2023 &amp; during the Year 2023-24 in  Rkm</t>
  </si>
  <si>
    <t>Division-wise LT Over head lines ,U.G. &amp; ABC Cables added &amp; dismantled during the month of October 2023 &amp; during the Year 2023-24 in  Rkm</t>
  </si>
  <si>
    <t>Division-wise LT Over head lines ,U.G. &amp; ABC Cables added &amp; dismantled during the month of November 2023 &amp; during the Year 2023-24 in  Rkm</t>
  </si>
  <si>
    <t>Division-wise LT Over head lines ,U.G. &amp; ABC Cables added &amp; dismantled during the month of December 2023 &amp; during the Year 2023-24 in  Rkm</t>
  </si>
  <si>
    <t>Division-wise LT Over head lines ,U.G. &amp; ABC Cables added &amp; dismantled during the month of January 2024 &amp; during the Year 2023-24 in  Rkm</t>
  </si>
  <si>
    <t xml:space="preserve">Note: The data of  Tumkur and Kolar circle is reconciled </t>
  </si>
  <si>
    <t xml:space="preserve">Note: The data of  Tumkur and Kolar circle is reconciled during the month of January 2024  as per the signed copies furnished by circles dated 26-02-2024.  </t>
  </si>
  <si>
    <t>Assistant General Manager(Op-4)</t>
  </si>
  <si>
    <t>Deputy General Manager(Op-1)</t>
  </si>
  <si>
    <t>BESCOM</t>
  </si>
  <si>
    <t>Chief General Manager,</t>
  </si>
  <si>
    <t>Operations, BESCOM</t>
  </si>
  <si>
    <t>Division-wise LT Over head lines ,U.G. &amp; ABC Cables added &amp; dismantled during the month of February 2024 &amp; during the Year 2023-24 in  Rkm</t>
  </si>
  <si>
    <t>Division-wise LT Over head lines ,U.G. &amp; ABC Cables added &amp; dismantled during the month of March 2024 &amp; during the Year 2023-24 in  Rkm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</si>
</sst>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0.00000000000000"/>
    <numFmt numFmtId="166" formatCode="#,##0.0000_);\(#,##0.0000\)"/>
    <numFmt numFmtId="167" formatCode="_-* #,##0\ &quot;F&quot;_-;\-* #,##0\ &quot;F&quot;_-;_-* &quot;-&quot;\ &quot;F&quot;_-;_-@_-"/>
    <numFmt numFmtId="168" formatCode="0.00000_)"/>
    <numFmt numFmtId="169" formatCode="_-* #,##0\ _F_-;\-* #,##0\ _F_-;_-* &quot;-&quot;\ _F_-;_-@_-"/>
    <numFmt numFmtId="170" formatCode="&quot;\&quot;#,##0.00;[Red]\-&quot;\&quot;#,##0.00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[$€-2]* #,##0.00_);_([$€-2]* \(#,##0.00\);_([$€-2]* &quot;-&quot;??_)"/>
    <numFmt numFmtId="174" formatCode="#,##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Bookman Old Style"/>
      <family val="1"/>
    </font>
    <font>
      <sz val="26"/>
      <name val="Bookman Old Style"/>
      <family val="1"/>
    </font>
    <font>
      <b/>
      <sz val="26"/>
      <color theme="0"/>
      <name val="Bookman Old Style"/>
      <family val="1"/>
    </font>
    <font>
      <sz val="26"/>
      <color theme="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7"/>
      <color theme="10"/>
      <name val="Arial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u/>
      <sz val="9"/>
      <color indexed="36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Bookman Old Style"/>
      <family val="1"/>
    </font>
    <font>
      <b/>
      <sz val="24"/>
      <color theme="1"/>
      <name val="Bookman Old Style"/>
      <family val="1"/>
    </font>
    <font>
      <sz val="24"/>
      <color theme="1"/>
      <name val="Bookman Old Style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3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/>
    <xf numFmtId="0" fontId="12" fillId="20" borderId="3" applyNumberFormat="0" applyAlignment="0" applyProtection="0"/>
    <xf numFmtId="0" fontId="13" fillId="21" borderId="4" applyNumberFormat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4" fontId="15" fillId="0" borderId="5">
      <alignment horizontal="right"/>
    </xf>
    <xf numFmtId="0" fontId="16" fillId="4" borderId="0" applyNumberFormat="0" applyBorder="0" applyAlignment="0" applyProtection="0"/>
    <xf numFmtId="0" fontId="17" fillId="0" borderId="6" applyNumberFormat="0" applyAlignment="0" applyProtection="0">
      <alignment horizontal="left" vertical="center"/>
    </xf>
    <xf numFmtId="0" fontId="17" fillId="0" borderId="7">
      <alignment horizontal="left" vertical="center"/>
    </xf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7" borderId="3" applyNumberFormat="0" applyAlignment="0" applyProtection="0"/>
    <xf numFmtId="0" fontId="25" fillId="0" borderId="11" applyNumberFormat="0" applyFill="0" applyAlignment="0" applyProtection="0"/>
    <xf numFmtId="0" fontId="26" fillId="22" borderId="0" applyNumberFormat="0" applyBorder="0" applyAlignment="0" applyProtection="0"/>
    <xf numFmtId="37" fontId="27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0" fontId="30" fillId="20" borderId="1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Font="0"/>
    <xf numFmtId="172" fontId="2" fillId="0" borderId="0" applyNumberFormat="0">
      <alignment horizontal="left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2" fontId="4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wrapText="1"/>
    </xf>
    <xf numFmtId="2" fontId="4" fillId="0" borderId="0" xfId="1" applyNumberFormat="1" applyFont="1" applyFill="1" applyBorder="1" applyAlignment="1">
      <alignment vertical="top" wrapText="1"/>
    </xf>
    <xf numFmtId="1" fontId="5" fillId="0" borderId="0" xfId="1" applyNumberFormat="1" applyFont="1" applyFill="1" applyBorder="1"/>
    <xf numFmtId="164" fontId="4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2" fontId="3" fillId="24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2" fontId="38" fillId="0" borderId="0" xfId="1" applyNumberFormat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wrapText="1"/>
    </xf>
    <xf numFmtId="0" fontId="40" fillId="0" borderId="0" xfId="0" applyFont="1" applyAlignment="1">
      <alignment horizontal="left" wrapText="1"/>
    </xf>
    <xf numFmtId="2" fontId="5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5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24" borderId="1" xfId="1" applyFont="1" applyFill="1" applyBorder="1" applyAlignment="1">
      <alignment horizontal="center" vertical="center" wrapText="1"/>
    </xf>
    <xf numFmtId="2" fontId="4" fillId="24" borderId="1" xfId="1" applyNumberFormat="1" applyFont="1" applyFill="1" applyBorder="1" applyAlignment="1">
      <alignment horizontal="center" vertical="center" wrapText="1"/>
    </xf>
    <xf numFmtId="2" fontId="3" fillId="24" borderId="0" xfId="1" applyNumberFormat="1" applyFont="1" applyFill="1" applyBorder="1" applyAlignment="1">
      <alignment wrapText="1"/>
    </xf>
    <xf numFmtId="0" fontId="3" fillId="24" borderId="0" xfId="1" applyFont="1" applyFill="1" applyBorder="1" applyAlignment="1">
      <alignment wrapText="1"/>
    </xf>
    <xf numFmtId="0" fontId="4" fillId="24" borderId="0" xfId="1" applyFont="1" applyFill="1" applyBorder="1" applyAlignment="1">
      <alignment wrapText="1"/>
    </xf>
    <xf numFmtId="2" fontId="5" fillId="24" borderId="0" xfId="1" applyNumberFormat="1" applyFont="1" applyFill="1" applyBorder="1" applyAlignment="1">
      <alignment horizontal="center" vertical="center" wrapText="1"/>
    </xf>
    <xf numFmtId="0" fontId="3" fillId="24" borderId="0" xfId="1" applyFont="1" applyFill="1" applyBorder="1" applyAlignment="1">
      <alignment horizontal="center" wrapText="1"/>
    </xf>
    <xf numFmtId="0" fontId="3" fillId="24" borderId="0" xfId="1" applyFont="1" applyFill="1" applyBorder="1" applyAlignment="1">
      <alignment vertical="center" wrapText="1"/>
    </xf>
    <xf numFmtId="0" fontId="3" fillId="24" borderId="1" xfId="1" applyFont="1" applyFill="1" applyBorder="1" applyAlignment="1">
      <alignment horizontal="center" vertical="center"/>
    </xf>
    <xf numFmtId="2" fontId="3" fillId="24" borderId="0" xfId="1" applyNumberFormat="1" applyFont="1" applyFill="1" applyBorder="1" applyAlignment="1">
      <alignment horizontal="center" vertical="center" wrapText="1"/>
    </xf>
    <xf numFmtId="2" fontId="4" fillId="24" borderId="0" xfId="1" applyNumberFormat="1" applyFont="1" applyFill="1" applyBorder="1" applyAlignment="1">
      <alignment wrapText="1"/>
    </xf>
    <xf numFmtId="2" fontId="6" fillId="24" borderId="0" xfId="1" applyNumberFormat="1" applyFont="1" applyFill="1" applyBorder="1" applyAlignment="1">
      <alignment wrapText="1"/>
    </xf>
    <xf numFmtId="2" fontId="3" fillId="24" borderId="0" xfId="1" applyNumberFormat="1" applyFont="1" applyFill="1" applyBorder="1" applyAlignment="1">
      <alignment vertical="center" wrapText="1"/>
    </xf>
    <xf numFmtId="2" fontId="4" fillId="24" borderId="0" xfId="1" applyNumberFormat="1" applyFont="1" applyFill="1" applyBorder="1" applyAlignment="1">
      <alignment vertical="top" wrapText="1"/>
    </xf>
    <xf numFmtId="2" fontId="6" fillId="24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</cellXfs>
  <cellStyles count="18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75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ÅëÈ­ [0]_±âÅ¸" xfId="27"/>
    <cellStyle name="ÅëÈ­_±âÅ¸" xfId="28"/>
    <cellStyle name="ÄÞ¸¶ [0]_±âÅ¸" xfId="29"/>
    <cellStyle name="ÄÞ¸¶_±âÅ¸" xfId="30"/>
    <cellStyle name="Bad 2" xfId="31"/>
    <cellStyle name="Ç¥ÁØ_¿¬°£´©°è¿¹»ó" xfId="32"/>
    <cellStyle name="Calculation 2" xfId="33"/>
    <cellStyle name="Check Cell 2" xfId="34"/>
    <cellStyle name="Comma  - Style1" xfId="35"/>
    <cellStyle name="Comma  - Style2" xfId="36"/>
    <cellStyle name="Comma  - Style3" xfId="37"/>
    <cellStyle name="Comma  - Style4" xfId="38"/>
    <cellStyle name="Comma  - Style5" xfId="39"/>
    <cellStyle name="Comma  - Style6" xfId="40"/>
    <cellStyle name="Comma  - Style7" xfId="41"/>
    <cellStyle name="Comma  - Style8" xfId="42"/>
    <cellStyle name="Comma 2" xfId="43"/>
    <cellStyle name="Comma 2 2" xfId="44"/>
    <cellStyle name="Comma 2 2 2" xfId="45"/>
    <cellStyle name="Comma 2 3" xfId="46"/>
    <cellStyle name="Comma 2 4" xfId="47"/>
    <cellStyle name="Comma 3" xfId="48"/>
    <cellStyle name="Comma 4" xfId="49"/>
    <cellStyle name="Comma 5" xfId="50"/>
    <cellStyle name="Currency 2" xfId="51"/>
    <cellStyle name="Currency 2 2" xfId="52"/>
    <cellStyle name="Currency 3" xfId="53"/>
    <cellStyle name="Currency 4" xfId="54"/>
    <cellStyle name="Euro" xfId="55"/>
    <cellStyle name="Explanatory Text 2" xfId="56"/>
    <cellStyle name="Formula" xfId="57"/>
    <cellStyle name="Good 2" xfId="58"/>
    <cellStyle name="Header1" xfId="59"/>
    <cellStyle name="Header2" xfId="60"/>
    <cellStyle name="Heading 1 2" xfId="61"/>
    <cellStyle name="Heading 2 2" xfId="62"/>
    <cellStyle name="Heading 3 2" xfId="63"/>
    <cellStyle name="Heading 4 2" xfId="64"/>
    <cellStyle name="Hyperlink 2" xfId="65"/>
    <cellStyle name="Hyperlink 3" xfId="66"/>
    <cellStyle name="Hypertextový odkaz" xfId="67"/>
    <cellStyle name="Input 2" xfId="68"/>
    <cellStyle name="Linked Cell 2" xfId="69"/>
    <cellStyle name="Neutral 2" xfId="70"/>
    <cellStyle name="no dec" xfId="71"/>
    <cellStyle name="Nor}al" xfId="72"/>
    <cellStyle name="Normal" xfId="0" builtinId="0"/>
    <cellStyle name="Normal - Style1" xfId="73"/>
    <cellStyle name="Normal 10" xfId="74"/>
    <cellStyle name="Normal 10 16" xfId="75"/>
    <cellStyle name="Normal 10 2" xfId="76"/>
    <cellStyle name="Normal 11" xfId="77"/>
    <cellStyle name="Normal 12" xfId="78"/>
    <cellStyle name="Normal 12 2" xfId="79"/>
    <cellStyle name="Normal 13" xfId="80"/>
    <cellStyle name="Normal 138_EEPhoneNos" xfId="81"/>
    <cellStyle name="Normal 14" xfId="82"/>
    <cellStyle name="Normal 14 2" xfId="83"/>
    <cellStyle name="Normal 14_January-2010  Fortnight WS Tra NEW" xfId="84"/>
    <cellStyle name="Normal 15" xfId="85"/>
    <cellStyle name="Normal 16" xfId="86"/>
    <cellStyle name="Normal 17" xfId="87"/>
    <cellStyle name="Normal 18" xfId="88"/>
    <cellStyle name="Normal 19" xfId="89"/>
    <cellStyle name="Normal 2" xfId="1"/>
    <cellStyle name="Normal 2 10" xfId="90"/>
    <cellStyle name="Normal 2 11" xfId="91"/>
    <cellStyle name="Normal 2 12" xfId="92"/>
    <cellStyle name="Normal 2 13" xfId="93"/>
    <cellStyle name="Normal 2 14" xfId="94"/>
    <cellStyle name="Normal 2 15" xfId="95"/>
    <cellStyle name="Normal 2 16" xfId="96"/>
    <cellStyle name="Normal 2 17" xfId="97"/>
    <cellStyle name="Normal 2 18" xfId="98"/>
    <cellStyle name="Normal 2 19" xfId="99"/>
    <cellStyle name="Normal 2 2" xfId="100"/>
    <cellStyle name="Normal 2 2 2" xfId="101"/>
    <cellStyle name="Normal 2 2 3" xfId="102"/>
    <cellStyle name="Normal 2 2_Meeting_Notes_09-03-2009" xfId="103"/>
    <cellStyle name="Normal 2 3" xfId="104"/>
    <cellStyle name="Normal 2 4" xfId="105"/>
    <cellStyle name="Normal 2 4 2" xfId="106"/>
    <cellStyle name="Normal 2 5" xfId="107"/>
    <cellStyle name="Normal 2 6" xfId="108"/>
    <cellStyle name="Normal 2 7" xfId="109"/>
    <cellStyle name="Normal 2 8" xfId="110"/>
    <cellStyle name="Normal 2 9" xfId="111"/>
    <cellStyle name="Normal 20" xfId="112"/>
    <cellStyle name="Normal 20 2" xfId="113"/>
    <cellStyle name="Normal 20 3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 2" xfId="125"/>
    <cellStyle name="Normal 3 2 2" xfId="126"/>
    <cellStyle name="Normal 3 3" xfId="127"/>
    <cellStyle name="Normal 3 3 2" xfId="128"/>
    <cellStyle name="Normal 3 4" xfId="129"/>
    <cellStyle name="Normal 3 5" xfId="130"/>
    <cellStyle name="Normal 3_Weekly transformer New format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9" xfId="141"/>
    <cellStyle name="Normal 4" xfId="142"/>
    <cellStyle name="Normal 4 2" xfId="143"/>
    <cellStyle name="Normal 4 3" xfId="144"/>
    <cellStyle name="Normal 4_Feederwise TCs as on June-08" xfId="145"/>
    <cellStyle name="Normal 40" xfId="146"/>
    <cellStyle name="Normal 41" xfId="147"/>
    <cellStyle name="Normal 41 2" xfId="148"/>
    <cellStyle name="Normal 5" xfId="149"/>
    <cellStyle name="Normal 5 2" xfId="150"/>
    <cellStyle name="Normal 5 2 2" xfId="151"/>
    <cellStyle name="Normal 6" xfId="152"/>
    <cellStyle name="Normal 6 2" xfId="153"/>
    <cellStyle name="Normal 6 2 2" xfId="154"/>
    <cellStyle name="Normal 6 2_MIS-Dec-2008 " xfId="155"/>
    <cellStyle name="Normal 7" xfId="156"/>
    <cellStyle name="Normal 7 2" xfId="157"/>
    <cellStyle name="Normal 7_Agenda-1 MMR Meeting for the month of December-2009" xfId="158"/>
    <cellStyle name="Normal 8" xfId="159"/>
    <cellStyle name="Normal 8 2" xfId="160"/>
    <cellStyle name="Normal 8 3" xfId="161"/>
    <cellStyle name="Normal 8_Meeting Booklet (Tech Formates) Dec-08" xfId="162"/>
    <cellStyle name="Normal 9" xfId="163"/>
    <cellStyle name="Normal 9 2" xfId="164"/>
    <cellStyle name="Note 2" xfId="165"/>
    <cellStyle name="Note 3" xfId="166"/>
    <cellStyle name="Output 2" xfId="167"/>
    <cellStyle name="Percent 2" xfId="168"/>
    <cellStyle name="Percent 2 2" xfId="169"/>
    <cellStyle name="Percent 2 3" xfId="170"/>
    <cellStyle name="Percent 3" xfId="171"/>
    <cellStyle name="Percent 4" xfId="172"/>
    <cellStyle name="Percent 5" xfId="173"/>
    <cellStyle name="Percent 6" xfId="174"/>
    <cellStyle name="Popis" xfId="175"/>
    <cellStyle name="Rs" xfId="176"/>
    <cellStyle name="Sledovaný hypertextový odkaz" xfId="177"/>
    <cellStyle name="Standard_BS14" xfId="178"/>
    <cellStyle name="Style 1" xfId="179"/>
    <cellStyle name="Title 2" xfId="180"/>
    <cellStyle name="Total 2" xfId="181"/>
    <cellStyle name="Warning Text 2" xfId="1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om/Desktop/revised%20forwarded%20to%20energy%20dept%2015.05.23/LT%20Lines%20FY%20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22-23/HT%20LT%20Lines%20FY%202022-23/LT%20Lines%20FY%202022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3-24/HT%20LT%20Lines%20FY%202023-24/LTlines%20FY%2023-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-21/HT%20LT%20FY%202020-21/LT%20Lines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 "/>
      <sheetName val="May 2022"/>
      <sheetName val="June 2022"/>
      <sheetName val="July 2022"/>
      <sheetName val="aug 2022"/>
      <sheetName val="sep 2022"/>
      <sheetName val="Oct 2022"/>
      <sheetName val="Nov 2022"/>
      <sheetName val="Dec 2022"/>
      <sheetName val="Jan 2023"/>
      <sheetName val="Feb 2023"/>
      <sheetName val="march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E7">
            <v>47.73</v>
          </cell>
          <cell r="G7">
            <v>124.8</v>
          </cell>
          <cell r="H7">
            <v>83.970000000000653</v>
          </cell>
          <cell r="K7">
            <v>44.056000000000004</v>
          </cell>
          <cell r="M7">
            <v>0.04</v>
          </cell>
          <cell r="N7">
            <v>174.82099999999994</v>
          </cell>
          <cell r="Q7">
            <v>0.46</v>
          </cell>
          <cell r="S7">
            <v>0</v>
          </cell>
          <cell r="T7">
            <v>284.1400000000001</v>
          </cell>
        </row>
        <row r="8">
          <cell r="E8">
            <v>0.48000000000000009</v>
          </cell>
          <cell r="G8">
            <v>0.33999999999999997</v>
          </cell>
          <cell r="H8">
            <v>497.61499999999984</v>
          </cell>
          <cell r="K8">
            <v>21.271000000000001</v>
          </cell>
          <cell r="M8">
            <v>0</v>
          </cell>
          <cell r="N8">
            <v>141.30100000000002</v>
          </cell>
          <cell r="Q8">
            <v>34.629999999999995</v>
          </cell>
          <cell r="S8">
            <v>0</v>
          </cell>
          <cell r="T8">
            <v>222.27000000000004</v>
          </cell>
        </row>
        <row r="9">
          <cell r="E9">
            <v>0</v>
          </cell>
          <cell r="G9">
            <v>90</v>
          </cell>
          <cell r="H9">
            <v>653.9599999999997</v>
          </cell>
          <cell r="K9">
            <v>17.257999999999999</v>
          </cell>
          <cell r="M9">
            <v>0</v>
          </cell>
          <cell r="N9">
            <v>214.59100000000001</v>
          </cell>
          <cell r="Q9">
            <v>125.15</v>
          </cell>
          <cell r="S9">
            <v>0</v>
          </cell>
          <cell r="T9">
            <v>266.58999999999997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4.5510000000000002</v>
          </cell>
          <cell r="M10">
            <v>0</v>
          </cell>
          <cell r="N10">
            <v>146.58500000000009</v>
          </cell>
          <cell r="Q10">
            <v>1.1100000000000001</v>
          </cell>
          <cell r="S10">
            <v>0</v>
          </cell>
          <cell r="T10">
            <v>234.27999999999997</v>
          </cell>
        </row>
        <row r="11">
          <cell r="G11">
            <v>215.14000000000001</v>
          </cell>
          <cell r="H11">
            <v>1235.5450000000001</v>
          </cell>
          <cell r="Q11">
            <v>161.35</v>
          </cell>
          <cell r="S11">
            <v>0</v>
          </cell>
        </row>
        <row r="12">
          <cell r="E12">
            <v>0</v>
          </cell>
          <cell r="G12">
            <v>1434.6</v>
          </cell>
          <cell r="H12">
            <v>218.88999999999885</v>
          </cell>
          <cell r="K12">
            <v>5.9799999999999995</v>
          </cell>
          <cell r="M12">
            <v>38.24</v>
          </cell>
          <cell r="N12">
            <v>89.373000000000005</v>
          </cell>
          <cell r="Q12">
            <v>969.1099999999999</v>
          </cell>
          <cell r="S12">
            <v>0</v>
          </cell>
          <cell r="T12">
            <v>1548.02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9.3099999999999987</v>
          </cell>
          <cell r="M13">
            <v>0.72</v>
          </cell>
          <cell r="N13">
            <v>156.90400000000008</v>
          </cell>
          <cell r="Q13">
            <v>0.67</v>
          </cell>
          <cell r="S13">
            <v>0</v>
          </cell>
          <cell r="T13">
            <v>87.2</v>
          </cell>
        </row>
        <row r="14">
          <cell r="E14">
            <v>0.08</v>
          </cell>
          <cell r="G14">
            <v>0</v>
          </cell>
          <cell r="H14">
            <v>2084.5799999999995</v>
          </cell>
          <cell r="K14">
            <v>14.32</v>
          </cell>
          <cell r="M14">
            <v>0</v>
          </cell>
          <cell r="N14">
            <v>208.17399999999998</v>
          </cell>
          <cell r="Q14">
            <v>51.42</v>
          </cell>
          <cell r="S14">
            <v>0</v>
          </cell>
          <cell r="T14">
            <v>403.58</v>
          </cell>
        </row>
        <row r="15">
          <cell r="G15">
            <v>1434.6</v>
          </cell>
          <cell r="H15">
            <v>3327.239999999998</v>
          </cell>
          <cell r="Q15">
            <v>1021.2</v>
          </cell>
          <cell r="S15">
            <v>0</v>
          </cell>
        </row>
        <row r="16">
          <cell r="E16">
            <v>21.149999999999995</v>
          </cell>
          <cell r="G16">
            <v>461.17</v>
          </cell>
          <cell r="H16">
            <v>1306.5919999999992</v>
          </cell>
          <cell r="K16">
            <v>2.8800000000000003</v>
          </cell>
          <cell r="M16">
            <v>0</v>
          </cell>
          <cell r="N16">
            <v>113.90000000000005</v>
          </cell>
          <cell r="Q16">
            <v>763.16000000000008</v>
          </cell>
          <cell r="S16">
            <v>0</v>
          </cell>
          <cell r="T16">
            <v>874.55900000000008</v>
          </cell>
        </row>
        <row r="17">
          <cell r="E17">
            <v>39.92</v>
          </cell>
          <cell r="G17">
            <v>0</v>
          </cell>
          <cell r="H17">
            <v>239.35399999999987</v>
          </cell>
          <cell r="K17">
            <v>8.57</v>
          </cell>
          <cell r="M17">
            <v>0.99</v>
          </cell>
          <cell r="N17">
            <v>29.656999999999993</v>
          </cell>
          <cell r="Q17">
            <v>77.23</v>
          </cell>
          <cell r="S17">
            <v>70.959999999999994</v>
          </cell>
          <cell r="T17">
            <v>414.54100000000005</v>
          </cell>
        </row>
        <row r="18">
          <cell r="E18">
            <v>0</v>
          </cell>
          <cell r="G18">
            <v>191.73</v>
          </cell>
          <cell r="H18">
            <v>478.13499999999931</v>
          </cell>
          <cell r="K18">
            <v>1.8399999999999999</v>
          </cell>
          <cell r="M18">
            <v>3.07</v>
          </cell>
          <cell r="N18">
            <v>15.13999999999999</v>
          </cell>
          <cell r="Q18">
            <v>285.99</v>
          </cell>
          <cell r="S18">
            <v>0.05</v>
          </cell>
          <cell r="T18">
            <v>480.83799999999997</v>
          </cell>
        </row>
        <row r="19">
          <cell r="G19">
            <v>652.9</v>
          </cell>
          <cell r="H19">
            <v>2024.0809999999983</v>
          </cell>
          <cell r="Q19">
            <v>1126.3800000000001</v>
          </cell>
          <cell r="S19">
            <v>71.009999999999991</v>
          </cell>
        </row>
        <row r="20">
          <cell r="E20">
            <v>0.91</v>
          </cell>
          <cell r="G20">
            <v>180</v>
          </cell>
          <cell r="H20">
            <v>1024.4549999999992</v>
          </cell>
          <cell r="K20">
            <v>2.86</v>
          </cell>
          <cell r="M20">
            <v>0</v>
          </cell>
          <cell r="N20">
            <v>155.16100000000009</v>
          </cell>
          <cell r="Q20">
            <v>400.64</v>
          </cell>
          <cell r="S20">
            <v>0</v>
          </cell>
          <cell r="T20">
            <v>742.5709999999998</v>
          </cell>
        </row>
        <row r="21">
          <cell r="E21">
            <v>0</v>
          </cell>
          <cell r="G21">
            <v>0</v>
          </cell>
          <cell r="H21">
            <v>142.68999999999988</v>
          </cell>
          <cell r="K21">
            <v>2.42</v>
          </cell>
          <cell r="M21">
            <v>0</v>
          </cell>
          <cell r="N21">
            <v>52.583000000000013</v>
          </cell>
          <cell r="Q21">
            <v>44.3</v>
          </cell>
          <cell r="S21">
            <v>0</v>
          </cell>
          <cell r="T21">
            <v>310.79999999999995</v>
          </cell>
        </row>
        <row r="22">
          <cell r="E22">
            <v>0</v>
          </cell>
          <cell r="G22">
            <v>0</v>
          </cell>
          <cell r="H22">
            <v>27.069999999999879</v>
          </cell>
          <cell r="K22">
            <v>0.33999999999999997</v>
          </cell>
          <cell r="M22">
            <v>0</v>
          </cell>
          <cell r="N22">
            <v>15.940000000000005</v>
          </cell>
          <cell r="Q22">
            <v>104.39000000000001</v>
          </cell>
          <cell r="S22">
            <v>0</v>
          </cell>
          <cell r="T22">
            <v>775.89999999999986</v>
          </cell>
        </row>
        <row r="23">
          <cell r="E23">
            <v>33.08</v>
          </cell>
          <cell r="G23">
            <v>75</v>
          </cell>
          <cell r="H23">
            <v>1131.0419999999997</v>
          </cell>
          <cell r="K23">
            <v>32.76</v>
          </cell>
          <cell r="M23">
            <v>0</v>
          </cell>
          <cell r="N23">
            <v>48.053999999999995</v>
          </cell>
          <cell r="Q23">
            <v>237.10000000000002</v>
          </cell>
          <cell r="S23">
            <v>0</v>
          </cell>
          <cell r="T23">
            <v>404.38499999999999</v>
          </cell>
        </row>
        <row r="24">
          <cell r="G24">
            <v>255</v>
          </cell>
          <cell r="H24">
            <v>2325.2569999999987</v>
          </cell>
          <cell r="Q24">
            <v>786.43000000000018</v>
          </cell>
          <cell r="S24">
            <v>0</v>
          </cell>
        </row>
        <row r="25">
          <cell r="G25">
            <v>2557.6400000000003</v>
          </cell>
          <cell r="H25">
            <v>8912.122999999996</v>
          </cell>
          <cell r="Q25">
            <v>3095.36</v>
          </cell>
          <cell r="S25">
            <v>71.009999999999991</v>
          </cell>
        </row>
        <row r="26">
          <cell r="E26">
            <v>28.169999999999995</v>
          </cell>
          <cell r="G26">
            <v>0</v>
          </cell>
          <cell r="H26">
            <v>1211.8119999999994</v>
          </cell>
          <cell r="K26">
            <v>0.15</v>
          </cell>
          <cell r="M26">
            <v>0.04</v>
          </cell>
          <cell r="N26">
            <v>0.11</v>
          </cell>
          <cell r="Q26">
            <v>62.040000000000006</v>
          </cell>
          <cell r="S26">
            <v>0.42</v>
          </cell>
          <cell r="T26">
            <v>191.18</v>
          </cell>
        </row>
        <row r="27">
          <cell r="E27">
            <v>107.98</v>
          </cell>
          <cell r="G27">
            <v>0</v>
          </cell>
          <cell r="H27">
            <v>10406.166999999992</v>
          </cell>
          <cell r="K27">
            <v>19.849999999999998</v>
          </cell>
          <cell r="M27">
            <v>0</v>
          </cell>
          <cell r="N27">
            <v>404.88499999999999</v>
          </cell>
          <cell r="Q27">
            <v>13.030000000000001</v>
          </cell>
          <cell r="S27">
            <v>45.22</v>
          </cell>
          <cell r="T27">
            <v>43.160000000000018</v>
          </cell>
        </row>
        <row r="28">
          <cell r="G28">
            <v>0</v>
          </cell>
          <cell r="H28">
            <v>11617.978999999992</v>
          </cell>
          <cell r="Q28">
            <v>75.070000000000007</v>
          </cell>
          <cell r="S28">
            <v>45.64</v>
          </cell>
        </row>
        <row r="29">
          <cell r="E29">
            <v>139.22300000000001</v>
          </cell>
          <cell r="G29">
            <v>0</v>
          </cell>
          <cell r="H29">
            <v>4540.8360000000011</v>
          </cell>
          <cell r="K29">
            <v>113.00999999999999</v>
          </cell>
          <cell r="M29">
            <v>0</v>
          </cell>
          <cell r="N29">
            <v>184.70000000000002</v>
          </cell>
          <cell r="Q29">
            <v>379.19</v>
          </cell>
          <cell r="S29">
            <v>0</v>
          </cell>
          <cell r="T29">
            <v>517.27</v>
          </cell>
        </row>
        <row r="30">
          <cell r="E30">
            <v>262.57800000000003</v>
          </cell>
          <cell r="G30">
            <v>0</v>
          </cell>
          <cell r="H30">
            <v>6437.9220000000023</v>
          </cell>
          <cell r="K30">
            <v>130.80000000000001</v>
          </cell>
          <cell r="M30">
            <v>0</v>
          </cell>
          <cell r="N30">
            <v>130.80000000000001</v>
          </cell>
          <cell r="Q30">
            <v>194.55999999999997</v>
          </cell>
          <cell r="S30">
            <v>0</v>
          </cell>
          <cell r="T30">
            <v>194.78</v>
          </cell>
        </row>
        <row r="31">
          <cell r="E31">
            <v>51.031000000000006</v>
          </cell>
          <cell r="G31">
            <v>3.38</v>
          </cell>
          <cell r="H31">
            <v>3121.7139999999995</v>
          </cell>
          <cell r="K31">
            <v>47.02</v>
          </cell>
          <cell r="M31">
            <v>0</v>
          </cell>
          <cell r="N31">
            <v>50.180000000000007</v>
          </cell>
          <cell r="Q31">
            <v>115.96000000000001</v>
          </cell>
          <cell r="S31">
            <v>0</v>
          </cell>
          <cell r="T31">
            <v>244.44</v>
          </cell>
        </row>
        <row r="32">
          <cell r="E32">
            <v>34.159999999999997</v>
          </cell>
          <cell r="G32">
            <v>12.81</v>
          </cell>
          <cell r="H32">
            <v>4390.03</v>
          </cell>
          <cell r="K32">
            <v>92.539999999999992</v>
          </cell>
          <cell r="M32">
            <v>0</v>
          </cell>
          <cell r="N32">
            <v>226.37999999999997</v>
          </cell>
          <cell r="Q32">
            <v>0.01</v>
          </cell>
          <cell r="S32">
            <v>27.41</v>
          </cell>
          <cell r="T32">
            <v>243.64999999999995</v>
          </cell>
        </row>
        <row r="33">
          <cell r="G33">
            <v>16.190000000000001</v>
          </cell>
          <cell r="H33">
            <v>18490.502000000004</v>
          </cell>
          <cell r="Q33">
            <v>689.72000000000014</v>
          </cell>
          <cell r="S33">
            <v>27.41</v>
          </cell>
        </row>
        <row r="34">
          <cell r="E34">
            <v>235.60000000000002</v>
          </cell>
          <cell r="G34">
            <v>0</v>
          </cell>
          <cell r="H34">
            <v>6101.7100000000019</v>
          </cell>
          <cell r="K34">
            <v>2</v>
          </cell>
          <cell r="M34">
            <v>0</v>
          </cell>
          <cell r="N34">
            <v>2</v>
          </cell>
          <cell r="Q34">
            <v>38.700000000000003</v>
          </cell>
          <cell r="S34">
            <v>0</v>
          </cell>
          <cell r="T34">
            <v>38.700000000000003</v>
          </cell>
        </row>
        <row r="35">
          <cell r="E35">
            <v>234.89000000000001</v>
          </cell>
          <cell r="G35">
            <v>13.64</v>
          </cell>
          <cell r="H35">
            <v>4846.1550000000016</v>
          </cell>
          <cell r="K35">
            <v>0</v>
          </cell>
          <cell r="M35">
            <v>0</v>
          </cell>
          <cell r="N35">
            <v>0.1</v>
          </cell>
          <cell r="Q35">
            <v>109.04</v>
          </cell>
          <cell r="S35">
            <v>0</v>
          </cell>
          <cell r="T35">
            <v>125.47000000000001</v>
          </cell>
        </row>
        <row r="36">
          <cell r="E36">
            <v>57.97</v>
          </cell>
          <cell r="G36">
            <v>0</v>
          </cell>
          <cell r="H36">
            <v>19424.840000000004</v>
          </cell>
          <cell r="K36">
            <v>0</v>
          </cell>
          <cell r="M36">
            <v>0</v>
          </cell>
          <cell r="N36">
            <v>8.5</v>
          </cell>
          <cell r="Q36">
            <v>72.39</v>
          </cell>
          <cell r="S36">
            <v>0</v>
          </cell>
          <cell r="T36">
            <v>72.39</v>
          </cell>
        </row>
        <row r="37">
          <cell r="E37">
            <v>16.64</v>
          </cell>
          <cell r="G37">
            <v>0</v>
          </cell>
          <cell r="H37">
            <v>7024.24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3.1</v>
          </cell>
        </row>
        <row r="38">
          <cell r="G38">
            <v>13.64</v>
          </cell>
          <cell r="H38">
            <v>37396.945000000007</v>
          </cell>
          <cell r="Q38">
            <v>220.13</v>
          </cell>
          <cell r="S38">
            <v>0</v>
          </cell>
        </row>
        <row r="39">
          <cell r="G39">
            <v>29.830000000000002</v>
          </cell>
          <cell r="H39">
            <v>67505.426000000007</v>
          </cell>
          <cell r="Q39">
            <v>984.91999999999985</v>
          </cell>
          <cell r="S39">
            <v>73.05</v>
          </cell>
        </row>
        <row r="40">
          <cell r="E40">
            <v>115.70999999999998</v>
          </cell>
          <cell r="G40">
            <v>0.24</v>
          </cell>
          <cell r="H40">
            <v>13900.558000000003</v>
          </cell>
          <cell r="K40">
            <v>226.8</v>
          </cell>
          <cell r="M40">
            <v>0</v>
          </cell>
          <cell r="N40">
            <v>226.8</v>
          </cell>
          <cell r="Q40">
            <v>75.02000000000001</v>
          </cell>
          <cell r="S40">
            <v>0</v>
          </cell>
          <cell r="T40">
            <v>75.02000000000001</v>
          </cell>
        </row>
        <row r="41">
          <cell r="E41">
            <v>579.04</v>
          </cell>
          <cell r="G41">
            <v>0</v>
          </cell>
          <cell r="H41">
            <v>10688.755999999994</v>
          </cell>
          <cell r="K41">
            <v>0</v>
          </cell>
          <cell r="M41">
            <v>0</v>
          </cell>
          <cell r="N41">
            <v>0</v>
          </cell>
          <cell r="Q41">
            <v>89.580000000000013</v>
          </cell>
          <cell r="S41">
            <v>0</v>
          </cell>
          <cell r="T41">
            <v>89.580000000000013</v>
          </cell>
        </row>
        <row r="42">
          <cell r="E42">
            <v>113.54999999999998</v>
          </cell>
          <cell r="G42">
            <v>0</v>
          </cell>
          <cell r="H42">
            <v>23987.464000000004</v>
          </cell>
          <cell r="K42">
            <v>0</v>
          </cell>
          <cell r="M42">
            <v>0</v>
          </cell>
          <cell r="N42">
            <v>0</v>
          </cell>
          <cell r="Q42">
            <v>38.47</v>
          </cell>
          <cell r="S42">
            <v>0</v>
          </cell>
          <cell r="T42">
            <v>38.47</v>
          </cell>
        </row>
        <row r="43">
          <cell r="E43">
            <v>181.54</v>
          </cell>
          <cell r="G43">
            <v>0</v>
          </cell>
          <cell r="H43">
            <v>2468.0030000000002</v>
          </cell>
          <cell r="K43">
            <v>0</v>
          </cell>
          <cell r="M43">
            <v>0</v>
          </cell>
          <cell r="N43">
            <v>0</v>
          </cell>
          <cell r="Q43">
            <v>146.49</v>
          </cell>
          <cell r="S43">
            <v>0</v>
          </cell>
          <cell r="T43">
            <v>146.49</v>
          </cell>
        </row>
        <row r="44">
          <cell r="G44">
            <v>0.24</v>
          </cell>
          <cell r="H44">
            <v>51044.781000000003</v>
          </cell>
          <cell r="Q44">
            <v>349.56</v>
          </cell>
          <cell r="S44">
            <v>0</v>
          </cell>
        </row>
        <row r="45">
          <cell r="E45">
            <v>163.995</v>
          </cell>
          <cell r="G45">
            <v>0</v>
          </cell>
          <cell r="H45">
            <v>14118.045</v>
          </cell>
          <cell r="K45">
            <v>0.04</v>
          </cell>
          <cell r="M45">
            <v>0</v>
          </cell>
          <cell r="N45">
            <v>6.67</v>
          </cell>
          <cell r="Q45">
            <v>75.7</v>
          </cell>
          <cell r="S45">
            <v>0</v>
          </cell>
          <cell r="T45">
            <v>105.87000000000002</v>
          </cell>
        </row>
        <row r="46">
          <cell r="E46">
            <v>121.355</v>
          </cell>
          <cell r="G46">
            <v>0.03</v>
          </cell>
          <cell r="H46">
            <v>7386.6849999999986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0.31</v>
          </cell>
          <cell r="T46">
            <v>7.5900000000000007</v>
          </cell>
        </row>
        <row r="47">
          <cell r="E47">
            <v>10.509999999999998</v>
          </cell>
          <cell r="G47">
            <v>0</v>
          </cell>
          <cell r="H47">
            <v>12303.770000000004</v>
          </cell>
          <cell r="K47">
            <v>0</v>
          </cell>
          <cell r="M47">
            <v>0</v>
          </cell>
          <cell r="N47">
            <v>1.2999999999999998</v>
          </cell>
          <cell r="Q47">
            <v>0</v>
          </cell>
          <cell r="S47">
            <v>0.1</v>
          </cell>
          <cell r="T47">
            <v>86.18</v>
          </cell>
        </row>
        <row r="48">
          <cell r="E48">
            <v>16.52</v>
          </cell>
          <cell r="G48">
            <v>0</v>
          </cell>
          <cell r="H48">
            <v>11106.712000000009</v>
          </cell>
          <cell r="K48">
            <v>0</v>
          </cell>
          <cell r="M48">
            <v>0</v>
          </cell>
          <cell r="N48">
            <v>0</v>
          </cell>
          <cell r="Q48">
            <v>0.53</v>
          </cell>
          <cell r="S48">
            <v>0</v>
          </cell>
          <cell r="T48">
            <v>30.53</v>
          </cell>
        </row>
        <row r="49">
          <cell r="G49">
            <v>0.03</v>
          </cell>
          <cell r="H49">
            <v>44915.212000000007</v>
          </cell>
          <cell r="Q49">
            <v>76.23</v>
          </cell>
          <cell r="S49">
            <v>0.41000000000000003</v>
          </cell>
        </row>
        <row r="50">
          <cell r="G50">
            <v>0.27</v>
          </cell>
          <cell r="H50">
            <v>95959.993000000017</v>
          </cell>
          <cell r="Q50">
            <v>425.79</v>
          </cell>
          <cell r="S50">
            <v>0.41000000000000003</v>
          </cell>
        </row>
        <row r="51">
          <cell r="G51">
            <v>2587.7400000000002</v>
          </cell>
          <cell r="H51">
            <v>172377.54200000002</v>
          </cell>
          <cell r="Q51">
            <v>4506.0700000000006</v>
          </cell>
          <cell r="S51">
            <v>144.47</v>
          </cell>
        </row>
        <row r="52">
          <cell r="E52">
            <v>0</v>
          </cell>
          <cell r="G52">
            <v>0</v>
          </cell>
          <cell r="H52">
            <v>0</v>
          </cell>
          <cell r="K52">
            <v>0</v>
          </cell>
          <cell r="M52">
            <v>0</v>
          </cell>
          <cell r="N52"/>
          <cell r="Q52">
            <v>0</v>
          </cell>
          <cell r="S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/>
          <cell r="Q53">
            <v>0</v>
          </cell>
          <cell r="S53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 "/>
      <sheetName val="May 2022"/>
      <sheetName val="June 2022"/>
      <sheetName val="July 2022"/>
      <sheetName val="aug 2022"/>
      <sheetName val="sep 2022"/>
      <sheetName val="Oct 2022"/>
      <sheetName val="Nov 2022"/>
      <sheetName val="Dec 2022"/>
      <sheetName val="Jan 2023"/>
      <sheetName val="Feb 2023"/>
      <sheetName val="march 2023"/>
      <sheetName val="LT"/>
    </sheetNames>
    <sheetDataSet>
      <sheetData sheetId="0">
        <row r="58">
          <cell r="H58">
            <v>179340.57699999996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H52">
            <v>0</v>
          </cell>
        </row>
        <row r="53">
          <cell r="H53">
            <v>0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3"/>
      <sheetName val="April 2023"/>
      <sheetName val="May 2023"/>
      <sheetName val="June 2023"/>
      <sheetName val="JULY 2023"/>
      <sheetName val="August 2023"/>
      <sheetName val="Sept 2023"/>
      <sheetName val="Oct-2023"/>
      <sheetName val="Nov 2023"/>
      <sheetName val="dec 2023"/>
      <sheetName val="Jan 2024"/>
      <sheetName val="LT"/>
      <sheetName val="kolar and tumkur circ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6">
          <cell r="H56">
            <v>177.917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april 2020"/>
      <sheetName val="circle ob "/>
      <sheetName val="diff"/>
      <sheetName val="May 2020"/>
      <sheetName val="June 2020"/>
      <sheetName val="july 2020"/>
      <sheetName val="August 2020"/>
      <sheetName val="sep 2020"/>
      <sheetName val="oct 2020"/>
      <sheetName val="Nov 2020"/>
      <sheetName val="Dec 2020 "/>
      <sheetName val="Jan 2021"/>
      <sheetName val="feb 2021"/>
      <sheetName val="March 2021"/>
      <sheetName val="Sheet1"/>
    </sheetNames>
    <sheetDataSet>
      <sheetData sheetId="0"/>
      <sheetData sheetId="1"/>
      <sheetData sheetId="2"/>
      <sheetData sheetId="3"/>
      <sheetData sheetId="4">
        <row r="56">
          <cell r="H56">
            <v>174730.96100000001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176837.64300000001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2"/>
  <sheetViews>
    <sheetView topLeftCell="A43" zoomScale="38" zoomScaleNormal="38" zoomScaleSheetLayoutView="25" workbookViewId="0">
      <selection activeCell="U58" sqref="U58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'[1]Feb 2023'!H7</f>
        <v>83.970000000000653</v>
      </c>
      <c r="D7" s="9">
        <v>0</v>
      </c>
      <c r="E7" s="9">
        <f>'[1]Feb 2023'!E7+'march 2023'!D7</f>
        <v>47.73</v>
      </c>
      <c r="F7" s="9">
        <v>0</v>
      </c>
      <c r="G7" s="9">
        <f>'[1]Feb 2023'!G7+'march 2023'!F7</f>
        <v>124.8</v>
      </c>
      <c r="H7" s="9">
        <f>C7+D7-F7</f>
        <v>83.970000000000653</v>
      </c>
      <c r="I7" s="9">
        <f>'[1]Feb 2023'!N7</f>
        <v>174.82099999999994</v>
      </c>
      <c r="J7" s="9">
        <v>0.05</v>
      </c>
      <c r="K7" s="9">
        <f>'[1]Feb 2023'!K7+'march 2023'!J7</f>
        <v>44.106000000000002</v>
      </c>
      <c r="L7" s="9">
        <v>0</v>
      </c>
      <c r="M7" s="9">
        <f>'[1]Feb 2023'!M7+'march 2023'!L7</f>
        <v>0.04</v>
      </c>
      <c r="N7" s="9">
        <f>I7+J7-L7</f>
        <v>174.87099999999995</v>
      </c>
      <c r="O7" s="10">
        <f>'[1]Feb 2023'!T7</f>
        <v>284.1400000000001</v>
      </c>
      <c r="P7" s="9">
        <v>0</v>
      </c>
      <c r="Q7" s="9">
        <f>'[1]Feb 2023'!Q7+'march 2023'!P7</f>
        <v>0.46</v>
      </c>
      <c r="R7" s="9">
        <v>0</v>
      </c>
      <c r="S7" s="9">
        <f>'[1]Feb 2023'!S7+'march 2023'!R7</f>
        <v>0</v>
      </c>
      <c r="T7" s="10">
        <f>O7+P7-R7</f>
        <v>284.1400000000001</v>
      </c>
      <c r="U7" s="10">
        <f>H7+N7+T7</f>
        <v>542.98100000000068</v>
      </c>
      <c r="V7" s="11"/>
      <c r="W7" s="11"/>
    </row>
    <row r="8" spans="1:183" ht="42.75" customHeight="1">
      <c r="A8" s="7">
        <v>2</v>
      </c>
      <c r="B8" s="8" t="s">
        <v>15</v>
      </c>
      <c r="C8" s="9">
        <f>'[1]Feb 2023'!H8</f>
        <v>497.61499999999984</v>
      </c>
      <c r="D8" s="9">
        <v>0</v>
      </c>
      <c r="E8" s="9">
        <f>'[1]Feb 2023'!E8+'march 2023'!D8</f>
        <v>0.48000000000000009</v>
      </c>
      <c r="F8" s="9">
        <v>0</v>
      </c>
      <c r="G8" s="9">
        <f>'[1]Feb 2023'!G8+'march 2023'!F8</f>
        <v>0.33999999999999997</v>
      </c>
      <c r="H8" s="9">
        <f t="shared" ref="H8:H53" si="0">C8+D8-F8</f>
        <v>497.61499999999984</v>
      </c>
      <c r="I8" s="9">
        <f>'[1]Feb 2023'!N8</f>
        <v>141.30100000000002</v>
      </c>
      <c r="J8" s="9">
        <v>1.605</v>
      </c>
      <c r="K8" s="9">
        <f>'[1]Feb 2023'!K8+'march 2023'!J8</f>
        <v>22.876000000000001</v>
      </c>
      <c r="L8" s="9">
        <v>0</v>
      </c>
      <c r="M8" s="9">
        <f>'[1]Feb 2023'!M8+'march 2023'!L8</f>
        <v>0</v>
      </c>
      <c r="N8" s="9">
        <f t="shared" ref="N8:N48" si="1">I8+J8-L8</f>
        <v>142.90600000000001</v>
      </c>
      <c r="O8" s="10">
        <f>'[1]Feb 2023'!T8</f>
        <v>222.27000000000004</v>
      </c>
      <c r="P8" s="9">
        <v>0</v>
      </c>
      <c r="Q8" s="9">
        <f>'[1]Feb 2023'!Q8+'march 2023'!P8</f>
        <v>34.629999999999995</v>
      </c>
      <c r="R8" s="9">
        <v>0</v>
      </c>
      <c r="S8" s="9">
        <f>'[1]Feb 2023'!S8+'march 2023'!R8</f>
        <v>0</v>
      </c>
      <c r="T8" s="10">
        <f t="shared" ref="T8:T48" si="2">O8+P8-R8</f>
        <v>222.27000000000004</v>
      </c>
      <c r="U8" s="10">
        <f t="shared" ref="U8:U48" si="3">H8+N8+T8</f>
        <v>862.79099999999994</v>
      </c>
      <c r="V8" s="11"/>
      <c r="W8" s="11"/>
    </row>
    <row r="9" spans="1:183" ht="42.75" customHeight="1">
      <c r="A9" s="7">
        <v>3</v>
      </c>
      <c r="B9" s="8" t="s">
        <v>16</v>
      </c>
      <c r="C9" s="9">
        <f>'[1]Feb 2023'!H9</f>
        <v>653.9599999999997</v>
      </c>
      <c r="D9" s="9">
        <v>0</v>
      </c>
      <c r="E9" s="9">
        <f>'[1]Feb 2023'!E9+'march 2023'!D9</f>
        <v>0</v>
      </c>
      <c r="F9" s="9">
        <v>0</v>
      </c>
      <c r="G9" s="9">
        <f>'[1]Feb 2023'!G9+'march 2023'!F9</f>
        <v>90</v>
      </c>
      <c r="H9" s="9">
        <f t="shared" si="0"/>
        <v>653.9599999999997</v>
      </c>
      <c r="I9" s="9">
        <f>'[1]Feb 2023'!N9</f>
        <v>214.59100000000001</v>
      </c>
      <c r="J9" s="9">
        <v>0.91500000000000004</v>
      </c>
      <c r="K9" s="9">
        <f>'[1]Feb 2023'!K9+'march 2023'!J9</f>
        <v>18.172999999999998</v>
      </c>
      <c r="L9" s="9">
        <v>0</v>
      </c>
      <c r="M9" s="9">
        <f>'[1]Feb 2023'!M9+'march 2023'!L9</f>
        <v>0</v>
      </c>
      <c r="N9" s="9">
        <f t="shared" si="1"/>
        <v>215.506</v>
      </c>
      <c r="O9" s="10">
        <f>'[1]Feb 2023'!T9</f>
        <v>266.58999999999997</v>
      </c>
      <c r="P9" s="9">
        <v>0</v>
      </c>
      <c r="Q9" s="9">
        <f>'[1]Feb 2023'!Q9+'march 2023'!P9</f>
        <v>125.15</v>
      </c>
      <c r="R9" s="9">
        <v>0</v>
      </c>
      <c r="S9" s="9">
        <f>'[1]Feb 2023'!S9+'march 2023'!R9</f>
        <v>0</v>
      </c>
      <c r="T9" s="10">
        <f t="shared" si="2"/>
        <v>266.58999999999997</v>
      </c>
      <c r="U9" s="10">
        <f t="shared" si="3"/>
        <v>1136.0559999999996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'[1]Feb 2023'!H10</f>
        <v>0</v>
      </c>
      <c r="D10" s="9">
        <v>0</v>
      </c>
      <c r="E10" s="9">
        <f>'[1]Feb 2023'!E10+'march 2023'!D10</f>
        <v>0</v>
      </c>
      <c r="F10" s="9">
        <v>0</v>
      </c>
      <c r="G10" s="9">
        <f>'[1]Feb 2023'!G10+'march 2023'!F10</f>
        <v>0</v>
      </c>
      <c r="H10" s="9">
        <f t="shared" si="0"/>
        <v>0</v>
      </c>
      <c r="I10" s="9">
        <f>'[1]Feb 2023'!N10</f>
        <v>146.58500000000009</v>
      </c>
      <c r="J10" s="9">
        <v>0.64</v>
      </c>
      <c r="K10" s="9">
        <f>'[1]Feb 2023'!K10+'march 2023'!J10</f>
        <v>5.1909999999999998</v>
      </c>
      <c r="L10" s="9">
        <v>0</v>
      </c>
      <c r="M10" s="9">
        <f>'[1]Feb 2023'!M10+'march 2023'!L10</f>
        <v>0</v>
      </c>
      <c r="N10" s="9">
        <f t="shared" si="1"/>
        <v>147.22500000000008</v>
      </c>
      <c r="O10" s="10">
        <f>'[1]Feb 2023'!T10</f>
        <v>234.27999999999997</v>
      </c>
      <c r="P10" s="9">
        <v>0</v>
      </c>
      <c r="Q10" s="9">
        <f>'[1]Feb 2023'!Q10+'march 2023'!P10</f>
        <v>1.1100000000000001</v>
      </c>
      <c r="R10" s="9">
        <v>0</v>
      </c>
      <c r="S10" s="9">
        <f>'[1]Feb 2023'!S10+'march 2023'!R10</f>
        <v>0</v>
      </c>
      <c r="T10" s="10">
        <f t="shared" si="2"/>
        <v>234.27999999999997</v>
      </c>
      <c r="U10" s="10">
        <f t="shared" si="3"/>
        <v>381.50500000000005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'[1]Feb 2023'!H11</f>
        <v>1235.5450000000001</v>
      </c>
      <c r="D11" s="15">
        <f t="shared" ref="D11:U11" si="4">SUM(D7:D10)</f>
        <v>0</v>
      </c>
      <c r="E11" s="15">
        <f t="shared" si="4"/>
        <v>48.209999999999994</v>
      </c>
      <c r="F11" s="15">
        <f t="shared" si="4"/>
        <v>0</v>
      </c>
      <c r="G11" s="15">
        <f>'[1]Feb 2023'!G11+'march 2023'!F11</f>
        <v>215.14000000000001</v>
      </c>
      <c r="H11" s="15">
        <f t="shared" si="4"/>
        <v>1235.5450000000001</v>
      </c>
      <c r="I11" s="15">
        <f t="shared" si="4"/>
        <v>677.298</v>
      </c>
      <c r="J11" s="15">
        <f t="shared" si="4"/>
        <v>3.2100000000000004</v>
      </c>
      <c r="K11" s="15">
        <f t="shared" si="4"/>
        <v>90.346000000000004</v>
      </c>
      <c r="L11" s="15">
        <f t="shared" si="4"/>
        <v>0</v>
      </c>
      <c r="M11" s="15">
        <f t="shared" si="4"/>
        <v>0.04</v>
      </c>
      <c r="N11" s="15">
        <f t="shared" si="4"/>
        <v>680.50800000000004</v>
      </c>
      <c r="O11" s="15">
        <f t="shared" si="4"/>
        <v>1007.2800000000001</v>
      </c>
      <c r="P11" s="15">
        <f t="shared" si="4"/>
        <v>0</v>
      </c>
      <c r="Q11" s="15">
        <f>'[1]Feb 2023'!Q11+'march 2023'!P11</f>
        <v>161.35</v>
      </c>
      <c r="R11" s="15">
        <f t="shared" si="4"/>
        <v>0</v>
      </c>
      <c r="S11" s="15">
        <f>'[1]Feb 2023'!S11+'march 2023'!R11</f>
        <v>0</v>
      </c>
      <c r="T11" s="15">
        <f t="shared" si="4"/>
        <v>1007.2800000000001</v>
      </c>
      <c r="U11" s="15">
        <f t="shared" si="4"/>
        <v>2923.3330000000005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'[1]Feb 2023'!H12</f>
        <v>218.88999999999885</v>
      </c>
      <c r="D12" s="9">
        <v>0</v>
      </c>
      <c r="E12" s="9">
        <f>'[1]Feb 2023'!E12+'march 2023'!D12</f>
        <v>0</v>
      </c>
      <c r="F12" s="9">
        <v>0</v>
      </c>
      <c r="G12" s="9">
        <f>'[1]Feb 2023'!G12+'march 2023'!F12</f>
        <v>1434.6</v>
      </c>
      <c r="H12" s="9">
        <f t="shared" si="0"/>
        <v>218.88999999999885</v>
      </c>
      <c r="I12" s="9">
        <f>'[1]Feb 2023'!N12</f>
        <v>89.373000000000005</v>
      </c>
      <c r="J12" s="9">
        <v>0.51</v>
      </c>
      <c r="K12" s="9">
        <f>'[1]Feb 2023'!K12+'march 2023'!J12</f>
        <v>6.4899999999999993</v>
      </c>
      <c r="L12" s="9">
        <v>0</v>
      </c>
      <c r="M12" s="9">
        <f>'[1]Feb 2023'!M12+'march 2023'!L12</f>
        <v>38.24</v>
      </c>
      <c r="N12" s="9">
        <f t="shared" si="1"/>
        <v>89.88300000000001</v>
      </c>
      <c r="O12" s="10">
        <f>'[1]Feb 2023'!T12</f>
        <v>1548.02</v>
      </c>
      <c r="P12" s="9">
        <v>0</v>
      </c>
      <c r="Q12" s="9">
        <f>'[1]Feb 2023'!Q12+'march 2023'!P12</f>
        <v>969.1099999999999</v>
      </c>
      <c r="R12" s="9">
        <v>0</v>
      </c>
      <c r="S12" s="9">
        <f>'[1]Feb 2023'!S12+'march 2023'!R12</f>
        <v>0</v>
      </c>
      <c r="T12" s="10">
        <f t="shared" si="2"/>
        <v>1548.02</v>
      </c>
      <c r="U12" s="10">
        <f t="shared" si="3"/>
        <v>1856.7929999999988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'[1]Feb 2023'!H13</f>
        <v>1023.7699999999998</v>
      </c>
      <c r="D13" s="9">
        <v>0</v>
      </c>
      <c r="E13" s="9">
        <f>'[1]Feb 2023'!E13+'march 2023'!D13</f>
        <v>0</v>
      </c>
      <c r="F13" s="9">
        <v>0</v>
      </c>
      <c r="G13" s="9">
        <f>'[1]Feb 2023'!G13+'march 2023'!F13</f>
        <v>0</v>
      </c>
      <c r="H13" s="9">
        <f t="shared" si="0"/>
        <v>1023.7699999999998</v>
      </c>
      <c r="I13" s="9">
        <f>'[1]Feb 2023'!N13</f>
        <v>156.90400000000008</v>
      </c>
      <c r="J13" s="9">
        <v>0.76</v>
      </c>
      <c r="K13" s="9">
        <f>'[1]Feb 2023'!K13+'march 2023'!J13</f>
        <v>10.069999999999999</v>
      </c>
      <c r="L13" s="9">
        <v>0</v>
      </c>
      <c r="M13" s="9">
        <f>'[1]Feb 2023'!M13+'march 2023'!L13</f>
        <v>0.72</v>
      </c>
      <c r="N13" s="9">
        <f t="shared" si="1"/>
        <v>157.66400000000007</v>
      </c>
      <c r="O13" s="10">
        <f>'[1]Feb 2023'!T13</f>
        <v>87.2</v>
      </c>
      <c r="P13" s="9">
        <v>0</v>
      </c>
      <c r="Q13" s="9">
        <f>'[1]Feb 2023'!Q13+'march 2023'!P13</f>
        <v>0.67</v>
      </c>
      <c r="R13" s="9">
        <v>0</v>
      </c>
      <c r="S13" s="9">
        <f>'[1]Feb 2023'!S13+'march 2023'!R13</f>
        <v>0</v>
      </c>
      <c r="T13" s="10">
        <f t="shared" si="2"/>
        <v>87.2</v>
      </c>
      <c r="U13" s="10">
        <f t="shared" si="3"/>
        <v>1268.6339999999998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'[1]Feb 2023'!H14</f>
        <v>2084.5799999999995</v>
      </c>
      <c r="D14" s="9">
        <v>0</v>
      </c>
      <c r="E14" s="9">
        <f>'[1]Feb 2023'!E14+'march 2023'!D14</f>
        <v>0.08</v>
      </c>
      <c r="F14" s="9">
        <v>0</v>
      </c>
      <c r="G14" s="9">
        <f>'[1]Feb 2023'!G14+'march 2023'!F14</f>
        <v>0</v>
      </c>
      <c r="H14" s="9">
        <f t="shared" si="0"/>
        <v>2084.5799999999995</v>
      </c>
      <c r="I14" s="9">
        <f>'[1]Feb 2023'!N14</f>
        <v>208.17399999999998</v>
      </c>
      <c r="J14" s="9">
        <v>0.96</v>
      </c>
      <c r="K14" s="9">
        <f>'[1]Feb 2023'!K14+'march 2023'!J14</f>
        <v>15.280000000000001</v>
      </c>
      <c r="L14" s="9">
        <v>0</v>
      </c>
      <c r="M14" s="9">
        <f>'[1]Feb 2023'!M14+'march 2023'!L14</f>
        <v>0</v>
      </c>
      <c r="N14" s="9">
        <f t="shared" si="1"/>
        <v>209.13399999999999</v>
      </c>
      <c r="O14" s="10">
        <f>'[1]Feb 2023'!T14</f>
        <v>403.58</v>
      </c>
      <c r="P14" s="9">
        <v>0</v>
      </c>
      <c r="Q14" s="9">
        <f>'[1]Feb 2023'!Q14+'march 2023'!P14</f>
        <v>51.42</v>
      </c>
      <c r="R14" s="9">
        <v>0</v>
      </c>
      <c r="S14" s="9">
        <f>'[1]Feb 2023'!S14+'march 2023'!R14</f>
        <v>0</v>
      </c>
      <c r="T14" s="10">
        <f t="shared" si="2"/>
        <v>403.58</v>
      </c>
      <c r="U14" s="10">
        <f t="shared" si="3"/>
        <v>2697.2939999999994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'[1]Feb 2023'!H15</f>
        <v>3327.239999999998</v>
      </c>
      <c r="D15" s="15">
        <f t="shared" ref="D15:U15" si="5">SUM(D12:D14)</f>
        <v>0</v>
      </c>
      <c r="E15" s="15">
        <f t="shared" si="5"/>
        <v>0.08</v>
      </c>
      <c r="F15" s="15">
        <f t="shared" si="5"/>
        <v>0</v>
      </c>
      <c r="G15" s="15">
        <f>'[1]Feb 2023'!G15+'march 2023'!F15</f>
        <v>1434.6</v>
      </c>
      <c r="H15" s="15">
        <f t="shared" si="5"/>
        <v>3327.239999999998</v>
      </c>
      <c r="I15" s="15">
        <f t="shared" si="5"/>
        <v>454.45100000000008</v>
      </c>
      <c r="J15" s="15">
        <f t="shared" si="5"/>
        <v>2.23</v>
      </c>
      <c r="K15" s="15">
        <f t="shared" si="5"/>
        <v>31.84</v>
      </c>
      <c r="L15" s="15">
        <f t="shared" si="5"/>
        <v>0</v>
      </c>
      <c r="M15" s="15">
        <f t="shared" si="5"/>
        <v>38.96</v>
      </c>
      <c r="N15" s="15">
        <f t="shared" si="5"/>
        <v>456.68100000000004</v>
      </c>
      <c r="O15" s="15">
        <f t="shared" si="5"/>
        <v>2038.8</v>
      </c>
      <c r="P15" s="15">
        <f t="shared" si="5"/>
        <v>0</v>
      </c>
      <c r="Q15" s="15">
        <f>'[1]Feb 2023'!Q15+'march 2023'!P15</f>
        <v>1021.2</v>
      </c>
      <c r="R15" s="15">
        <f t="shared" si="5"/>
        <v>0</v>
      </c>
      <c r="S15" s="15">
        <f>'[1]Feb 2023'!S15+'march 2023'!R15</f>
        <v>0</v>
      </c>
      <c r="T15" s="15">
        <f t="shared" si="5"/>
        <v>2038.8</v>
      </c>
      <c r="U15" s="15">
        <f t="shared" si="5"/>
        <v>5822.7209999999977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'[1]Feb 2023'!H16</f>
        <v>1306.5919999999992</v>
      </c>
      <c r="D16" s="9">
        <v>0.74</v>
      </c>
      <c r="E16" s="9">
        <f>'[1]Feb 2023'!E16+'march 2023'!D16</f>
        <v>21.889999999999993</v>
      </c>
      <c r="F16" s="9">
        <v>0</v>
      </c>
      <c r="G16" s="9">
        <f>'[1]Feb 2023'!G16+'march 2023'!F16</f>
        <v>461.17</v>
      </c>
      <c r="H16" s="9">
        <f t="shared" si="0"/>
        <v>1307.3319999999992</v>
      </c>
      <c r="I16" s="9">
        <f>'[1]Feb 2023'!N16</f>
        <v>113.90000000000005</v>
      </c>
      <c r="J16" s="9">
        <v>7.0000000000000007E-2</v>
      </c>
      <c r="K16" s="9">
        <f>'[1]Feb 2023'!K16+'march 2023'!J16</f>
        <v>2.95</v>
      </c>
      <c r="L16" s="9">
        <v>0</v>
      </c>
      <c r="M16" s="9">
        <f>'[1]Feb 2023'!M16+'march 2023'!L16</f>
        <v>0</v>
      </c>
      <c r="N16" s="9">
        <f t="shared" si="1"/>
        <v>113.97000000000004</v>
      </c>
      <c r="O16" s="10">
        <f>'[1]Feb 2023'!T16</f>
        <v>874.55900000000008</v>
      </c>
      <c r="P16" s="9">
        <v>0.69</v>
      </c>
      <c r="Q16" s="9">
        <f>'[1]Feb 2023'!Q16+'march 2023'!P16</f>
        <v>763.85000000000014</v>
      </c>
      <c r="R16" s="9">
        <v>0</v>
      </c>
      <c r="S16" s="9">
        <f>'[1]Feb 2023'!S16+'march 2023'!R16</f>
        <v>0</v>
      </c>
      <c r="T16" s="10">
        <f t="shared" si="2"/>
        <v>875.24900000000014</v>
      </c>
      <c r="U16" s="10">
        <f t="shared" si="3"/>
        <v>2296.5509999999995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'[1]Feb 2023'!H17</f>
        <v>239.35399999999987</v>
      </c>
      <c r="D17" s="9">
        <v>0</v>
      </c>
      <c r="E17" s="9">
        <f>'[1]Feb 2023'!E17+'march 2023'!D17</f>
        <v>39.92</v>
      </c>
      <c r="F17" s="9">
        <v>0</v>
      </c>
      <c r="G17" s="9">
        <f>'[1]Feb 2023'!G17+'march 2023'!F17</f>
        <v>0</v>
      </c>
      <c r="H17" s="9">
        <f t="shared" si="0"/>
        <v>239.35399999999987</v>
      </c>
      <c r="I17" s="9">
        <f>'[1]Feb 2023'!N17</f>
        <v>29.656999999999993</v>
      </c>
      <c r="J17" s="9">
        <v>0.04</v>
      </c>
      <c r="K17" s="9">
        <f>'[1]Feb 2023'!K17+'march 2023'!J17</f>
        <v>8.61</v>
      </c>
      <c r="L17" s="9">
        <v>0</v>
      </c>
      <c r="M17" s="9">
        <f>'[1]Feb 2023'!M17+'march 2023'!L17</f>
        <v>0.99</v>
      </c>
      <c r="N17" s="9">
        <f t="shared" si="1"/>
        <v>29.696999999999992</v>
      </c>
      <c r="O17" s="10">
        <f>'[1]Feb 2023'!T17</f>
        <v>414.54100000000005</v>
      </c>
      <c r="P17" s="9">
        <v>0</v>
      </c>
      <c r="Q17" s="9">
        <f>'[1]Feb 2023'!Q17+'march 2023'!P17</f>
        <v>77.23</v>
      </c>
      <c r="R17" s="9">
        <v>0</v>
      </c>
      <c r="S17" s="9">
        <f>'[1]Feb 2023'!S17+'march 2023'!R17</f>
        <v>70.959999999999994</v>
      </c>
      <c r="T17" s="10">
        <f t="shared" si="2"/>
        <v>414.54100000000005</v>
      </c>
      <c r="U17" s="10">
        <f t="shared" si="3"/>
        <v>683.59199999999987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'[1]Feb 2023'!H18</f>
        <v>478.13499999999931</v>
      </c>
      <c r="D18" s="9">
        <v>0</v>
      </c>
      <c r="E18" s="9">
        <f>'[1]Feb 2023'!E18+'march 2023'!D18</f>
        <v>0</v>
      </c>
      <c r="F18" s="9">
        <v>0</v>
      </c>
      <c r="G18" s="9">
        <f>'[1]Feb 2023'!G18+'march 2023'!F18</f>
        <v>191.73</v>
      </c>
      <c r="H18" s="9">
        <f t="shared" si="0"/>
        <v>478.13499999999931</v>
      </c>
      <c r="I18" s="9">
        <f>'[1]Feb 2023'!N18</f>
        <v>15.13999999999999</v>
      </c>
      <c r="J18" s="9">
        <v>0</v>
      </c>
      <c r="K18" s="9">
        <f>'[1]Feb 2023'!K18+'march 2023'!J18</f>
        <v>1.8399999999999999</v>
      </c>
      <c r="L18" s="9">
        <v>0</v>
      </c>
      <c r="M18" s="9">
        <f>'[1]Feb 2023'!M18+'march 2023'!L18</f>
        <v>3.07</v>
      </c>
      <c r="N18" s="9">
        <f t="shared" si="1"/>
        <v>15.13999999999999</v>
      </c>
      <c r="O18" s="10">
        <f>'[1]Feb 2023'!T18</f>
        <v>480.83799999999997</v>
      </c>
      <c r="P18" s="9">
        <v>0</v>
      </c>
      <c r="Q18" s="9">
        <f>'[1]Feb 2023'!Q18+'march 2023'!P18</f>
        <v>285.99</v>
      </c>
      <c r="R18" s="9">
        <v>0</v>
      </c>
      <c r="S18" s="9">
        <f>'[1]Feb 2023'!S18+'march 2023'!R18</f>
        <v>0.05</v>
      </c>
      <c r="T18" s="10">
        <f t="shared" si="2"/>
        <v>480.83799999999997</v>
      </c>
      <c r="U18" s="10">
        <f t="shared" si="3"/>
        <v>974.11299999999926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'[1]Feb 2023'!H19</f>
        <v>2024.0809999999983</v>
      </c>
      <c r="D19" s="15">
        <f t="shared" ref="D19:U19" si="6">SUM(D16:D18)</f>
        <v>0.74</v>
      </c>
      <c r="E19" s="15">
        <f t="shared" si="6"/>
        <v>61.809999999999995</v>
      </c>
      <c r="F19" s="15">
        <f t="shared" si="6"/>
        <v>0</v>
      </c>
      <c r="G19" s="15">
        <f>'[1]Feb 2023'!G19+'march 2023'!F19</f>
        <v>652.9</v>
      </c>
      <c r="H19" s="15">
        <f t="shared" si="6"/>
        <v>2024.8209999999983</v>
      </c>
      <c r="I19" s="15">
        <f t="shared" si="6"/>
        <v>158.69700000000003</v>
      </c>
      <c r="J19" s="15">
        <f t="shared" si="6"/>
        <v>0.11000000000000001</v>
      </c>
      <c r="K19" s="15">
        <f t="shared" si="6"/>
        <v>13.399999999999999</v>
      </c>
      <c r="L19" s="15">
        <f t="shared" si="6"/>
        <v>0</v>
      </c>
      <c r="M19" s="15">
        <f t="shared" si="6"/>
        <v>4.0599999999999996</v>
      </c>
      <c r="N19" s="15">
        <f t="shared" si="6"/>
        <v>158.80700000000002</v>
      </c>
      <c r="O19" s="15">
        <f t="shared" si="6"/>
        <v>1769.9380000000001</v>
      </c>
      <c r="P19" s="15">
        <f t="shared" si="6"/>
        <v>0.69</v>
      </c>
      <c r="Q19" s="15">
        <f>'[1]Feb 2023'!Q19+'march 2023'!P19</f>
        <v>1127.0700000000002</v>
      </c>
      <c r="R19" s="15">
        <f t="shared" si="6"/>
        <v>0</v>
      </c>
      <c r="S19" s="15">
        <f>'[1]Feb 2023'!S19+'march 2023'!R19</f>
        <v>71.009999999999991</v>
      </c>
      <c r="T19" s="15">
        <f t="shared" si="6"/>
        <v>1770.6280000000002</v>
      </c>
      <c r="U19" s="15">
        <f t="shared" si="6"/>
        <v>3954.2559999999985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'[1]Feb 2023'!H20</f>
        <v>1024.4549999999992</v>
      </c>
      <c r="D20" s="9">
        <v>0</v>
      </c>
      <c r="E20" s="9">
        <f>'[1]Feb 2023'!E20+'march 2023'!D20</f>
        <v>0.91</v>
      </c>
      <c r="F20" s="9">
        <v>0</v>
      </c>
      <c r="G20" s="9">
        <f>'[1]Feb 2023'!G20+'march 2023'!F20</f>
        <v>180</v>
      </c>
      <c r="H20" s="9">
        <f t="shared" si="0"/>
        <v>1024.4549999999992</v>
      </c>
      <c r="I20" s="9">
        <f>'[1]Feb 2023'!N20</f>
        <v>155.16100000000009</v>
      </c>
      <c r="J20" s="9">
        <v>0.08</v>
      </c>
      <c r="K20" s="9">
        <f>'[1]Feb 2023'!K20+'march 2023'!J20</f>
        <v>2.94</v>
      </c>
      <c r="L20" s="9">
        <v>0</v>
      </c>
      <c r="M20" s="9">
        <f>'[1]Feb 2023'!M20+'march 2023'!L20</f>
        <v>0</v>
      </c>
      <c r="N20" s="9">
        <f t="shared" si="1"/>
        <v>155.2410000000001</v>
      </c>
      <c r="O20" s="10">
        <f>'[1]Feb 2023'!T20</f>
        <v>742.5709999999998</v>
      </c>
      <c r="P20" s="9">
        <v>0.15</v>
      </c>
      <c r="Q20" s="9">
        <f>'[1]Feb 2023'!Q20+'march 2023'!P20</f>
        <v>400.78999999999996</v>
      </c>
      <c r="R20" s="9">
        <v>0</v>
      </c>
      <c r="S20" s="9">
        <f>'[1]Feb 2023'!S20+'march 2023'!R20</f>
        <v>0</v>
      </c>
      <c r="T20" s="10">
        <f t="shared" si="2"/>
        <v>742.72099999999978</v>
      </c>
      <c r="U20" s="10">
        <f t="shared" si="3"/>
        <v>1922.4169999999992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'[1]Feb 2023'!H21</f>
        <v>142.68999999999988</v>
      </c>
      <c r="D21" s="9">
        <v>0</v>
      </c>
      <c r="E21" s="9">
        <f>'[1]Feb 2023'!E21+'march 2023'!D21</f>
        <v>0</v>
      </c>
      <c r="F21" s="9">
        <v>0</v>
      </c>
      <c r="G21" s="9">
        <f>'[1]Feb 2023'!G21+'march 2023'!F21</f>
        <v>0</v>
      </c>
      <c r="H21" s="9">
        <f t="shared" si="0"/>
        <v>142.68999999999988</v>
      </c>
      <c r="I21" s="9">
        <f>'[1]Feb 2023'!N21</f>
        <v>52.583000000000013</v>
      </c>
      <c r="J21" s="9">
        <v>0.2</v>
      </c>
      <c r="K21" s="9">
        <f>'[1]Feb 2023'!K21+'march 2023'!J21</f>
        <v>2.62</v>
      </c>
      <c r="L21" s="9">
        <v>0</v>
      </c>
      <c r="M21" s="9">
        <f>'[1]Feb 2023'!M21+'march 2023'!L21</f>
        <v>0</v>
      </c>
      <c r="N21" s="9">
        <f t="shared" si="1"/>
        <v>52.783000000000015</v>
      </c>
      <c r="O21" s="10">
        <f>'[1]Feb 2023'!T21</f>
        <v>310.79999999999995</v>
      </c>
      <c r="P21" s="9">
        <v>0.1</v>
      </c>
      <c r="Q21" s="9">
        <f>'[1]Feb 2023'!Q21+'march 2023'!P21</f>
        <v>44.4</v>
      </c>
      <c r="R21" s="9">
        <v>0</v>
      </c>
      <c r="S21" s="9">
        <f>'[1]Feb 2023'!S21+'march 2023'!R21</f>
        <v>0</v>
      </c>
      <c r="T21" s="10">
        <f t="shared" si="2"/>
        <v>310.89999999999998</v>
      </c>
      <c r="U21" s="10">
        <f t="shared" si="3"/>
        <v>506.37299999999988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'[1]Feb 2023'!H22</f>
        <v>27.069999999999879</v>
      </c>
      <c r="D22" s="9">
        <v>0</v>
      </c>
      <c r="E22" s="9">
        <f>'[1]Feb 2023'!E22+'march 2023'!D22</f>
        <v>0</v>
      </c>
      <c r="F22" s="9">
        <v>0</v>
      </c>
      <c r="G22" s="9">
        <f>'[1]Feb 2023'!G22+'march 2023'!F22</f>
        <v>0</v>
      </c>
      <c r="H22" s="9">
        <f t="shared" si="0"/>
        <v>27.069999999999879</v>
      </c>
      <c r="I22" s="9">
        <f>'[1]Feb 2023'!N22</f>
        <v>15.940000000000005</v>
      </c>
      <c r="J22" s="9">
        <v>0</v>
      </c>
      <c r="K22" s="9">
        <f>'[1]Feb 2023'!K22+'march 2023'!J22</f>
        <v>0.33999999999999997</v>
      </c>
      <c r="L22" s="9">
        <v>0</v>
      </c>
      <c r="M22" s="9">
        <f>'[1]Feb 2023'!M22+'march 2023'!L22</f>
        <v>0</v>
      </c>
      <c r="N22" s="9">
        <f t="shared" si="1"/>
        <v>15.940000000000005</v>
      </c>
      <c r="O22" s="10">
        <f>'[1]Feb 2023'!T22</f>
        <v>775.89999999999986</v>
      </c>
      <c r="P22" s="9">
        <v>0.13</v>
      </c>
      <c r="Q22" s="9">
        <f>'[1]Feb 2023'!Q22+'march 2023'!P22</f>
        <v>104.52000000000001</v>
      </c>
      <c r="R22" s="9">
        <v>0</v>
      </c>
      <c r="S22" s="9">
        <f>'[1]Feb 2023'!S22+'march 2023'!R22</f>
        <v>0</v>
      </c>
      <c r="T22" s="10">
        <f t="shared" si="2"/>
        <v>776.02999999999986</v>
      </c>
      <c r="U22" s="10">
        <f t="shared" si="3"/>
        <v>819.03999999999974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'[1]Feb 2023'!H23</f>
        <v>1131.0419999999997</v>
      </c>
      <c r="D23" s="9">
        <v>2.16</v>
      </c>
      <c r="E23" s="9">
        <f>'[1]Feb 2023'!E23+'march 2023'!D23</f>
        <v>35.239999999999995</v>
      </c>
      <c r="F23" s="9">
        <v>0</v>
      </c>
      <c r="G23" s="9">
        <f>'[1]Feb 2023'!G23+'march 2023'!F23</f>
        <v>75</v>
      </c>
      <c r="H23" s="9">
        <f t="shared" si="0"/>
        <v>1133.2019999999998</v>
      </c>
      <c r="I23" s="9">
        <f>'[1]Feb 2023'!N23</f>
        <v>48.053999999999995</v>
      </c>
      <c r="J23" s="9">
        <v>2.15</v>
      </c>
      <c r="K23" s="9">
        <f>'[1]Feb 2023'!K23+'march 2023'!J23</f>
        <v>34.909999999999997</v>
      </c>
      <c r="L23" s="9">
        <v>0</v>
      </c>
      <c r="M23" s="9">
        <f>'[1]Feb 2023'!M23+'march 2023'!L23</f>
        <v>0</v>
      </c>
      <c r="N23" s="9">
        <f t="shared" si="1"/>
        <v>50.203999999999994</v>
      </c>
      <c r="O23" s="10">
        <f>'[1]Feb 2023'!T23</f>
        <v>404.38499999999999</v>
      </c>
      <c r="P23" s="9">
        <v>0.45</v>
      </c>
      <c r="Q23" s="9">
        <f>'[1]Feb 2023'!Q23+'march 2023'!P23</f>
        <v>237.55</v>
      </c>
      <c r="R23" s="9">
        <v>0</v>
      </c>
      <c r="S23" s="9">
        <f>'[1]Feb 2023'!S23+'march 2023'!R23</f>
        <v>0</v>
      </c>
      <c r="T23" s="10">
        <f t="shared" si="2"/>
        <v>404.83499999999998</v>
      </c>
      <c r="U23" s="10">
        <f t="shared" si="3"/>
        <v>1588.2409999999998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'[1]Feb 2023'!H24</f>
        <v>2325.2569999999987</v>
      </c>
      <c r="D24" s="15">
        <f t="shared" ref="D24:U24" si="7">SUM(D20:D23)</f>
        <v>2.16</v>
      </c>
      <c r="E24" s="15">
        <f t="shared" si="7"/>
        <v>36.149999999999991</v>
      </c>
      <c r="F24" s="15">
        <f t="shared" si="7"/>
        <v>0</v>
      </c>
      <c r="G24" s="15">
        <f>'[1]Feb 2023'!G24+'march 2023'!F24</f>
        <v>255</v>
      </c>
      <c r="H24" s="15">
        <f t="shared" si="7"/>
        <v>2327.4169999999986</v>
      </c>
      <c r="I24" s="15">
        <f t="shared" si="7"/>
        <v>271.73800000000006</v>
      </c>
      <c r="J24" s="15">
        <f t="shared" si="7"/>
        <v>2.4299999999999997</v>
      </c>
      <c r="K24" s="15">
        <f t="shared" si="7"/>
        <v>40.809999999999995</v>
      </c>
      <c r="L24" s="15">
        <f t="shared" si="7"/>
        <v>0</v>
      </c>
      <c r="M24" s="15">
        <f t="shared" si="7"/>
        <v>0</v>
      </c>
      <c r="N24" s="15">
        <f t="shared" si="7"/>
        <v>274.16800000000012</v>
      </c>
      <c r="O24" s="15">
        <f t="shared" si="7"/>
        <v>2233.6559999999995</v>
      </c>
      <c r="P24" s="15">
        <f t="shared" si="7"/>
        <v>0.83000000000000007</v>
      </c>
      <c r="Q24" s="15">
        <f>'[1]Feb 2023'!Q24+'march 2023'!P24</f>
        <v>787.26000000000022</v>
      </c>
      <c r="R24" s="15">
        <f t="shared" si="7"/>
        <v>0</v>
      </c>
      <c r="S24" s="15">
        <f>'[1]Feb 2023'!S24+'march 2023'!R24</f>
        <v>0</v>
      </c>
      <c r="T24" s="15">
        <f t="shared" si="7"/>
        <v>2234.4859999999994</v>
      </c>
      <c r="U24" s="15">
        <f t="shared" si="7"/>
        <v>4836.070999999999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'[1]Feb 2023'!H25</f>
        <v>8912.122999999996</v>
      </c>
      <c r="D25" s="15">
        <f t="shared" ref="D25:U25" si="8">D24+D19+D15+D11</f>
        <v>2.9000000000000004</v>
      </c>
      <c r="E25" s="15">
        <f t="shared" si="8"/>
        <v>146.24999999999997</v>
      </c>
      <c r="F25" s="15">
        <f t="shared" si="8"/>
        <v>0</v>
      </c>
      <c r="G25" s="15">
        <f>'[1]Feb 2023'!G25+'march 2023'!F25</f>
        <v>2557.6400000000003</v>
      </c>
      <c r="H25" s="15">
        <f t="shared" si="8"/>
        <v>8915.0229999999938</v>
      </c>
      <c r="I25" s="15">
        <f t="shared" si="8"/>
        <v>1562.1840000000002</v>
      </c>
      <c r="J25" s="15">
        <f t="shared" si="8"/>
        <v>7.98</v>
      </c>
      <c r="K25" s="15">
        <f t="shared" si="8"/>
        <v>176.39600000000002</v>
      </c>
      <c r="L25" s="15">
        <f t="shared" si="8"/>
        <v>0</v>
      </c>
      <c r="M25" s="15">
        <f t="shared" si="8"/>
        <v>43.06</v>
      </c>
      <c r="N25" s="15">
        <f t="shared" si="8"/>
        <v>1570.1640000000002</v>
      </c>
      <c r="O25" s="15">
        <f t="shared" si="8"/>
        <v>7049.6739999999991</v>
      </c>
      <c r="P25" s="15">
        <f t="shared" si="8"/>
        <v>1.52</v>
      </c>
      <c r="Q25" s="15">
        <f>'[1]Feb 2023'!Q25+'march 2023'!P25</f>
        <v>3096.88</v>
      </c>
      <c r="R25" s="15">
        <f t="shared" si="8"/>
        <v>0</v>
      </c>
      <c r="S25" s="15">
        <f>'[1]Feb 2023'!S25+'march 2023'!R25</f>
        <v>71.009999999999991</v>
      </c>
      <c r="T25" s="15">
        <f t="shared" si="8"/>
        <v>7051.1939999999995</v>
      </c>
      <c r="U25" s="15">
        <f t="shared" si="8"/>
        <v>17536.380999999994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'[1]Feb 2023'!H26</f>
        <v>1211.8119999999994</v>
      </c>
      <c r="D26" s="9">
        <v>26.19</v>
      </c>
      <c r="E26" s="9">
        <f>'[1]Feb 2023'!E26+'march 2023'!D26</f>
        <v>54.36</v>
      </c>
      <c r="F26" s="9">
        <v>0</v>
      </c>
      <c r="G26" s="9">
        <f>'[1]Feb 2023'!G26+'march 2023'!F26</f>
        <v>0</v>
      </c>
      <c r="H26" s="9">
        <f t="shared" si="0"/>
        <v>1238.0019999999995</v>
      </c>
      <c r="I26" s="9">
        <f>'[1]Feb 2023'!N26</f>
        <v>0.11</v>
      </c>
      <c r="J26" s="9">
        <v>0</v>
      </c>
      <c r="K26" s="9">
        <f>'[1]Feb 2023'!K26+'march 2023'!J26</f>
        <v>0.15</v>
      </c>
      <c r="L26" s="9">
        <v>0</v>
      </c>
      <c r="M26" s="9">
        <f>'[1]Feb 2023'!M26+'march 2023'!L26</f>
        <v>0.04</v>
      </c>
      <c r="N26" s="9">
        <f t="shared" si="1"/>
        <v>0.11</v>
      </c>
      <c r="O26" s="10">
        <f>'[1]Feb 2023'!T26</f>
        <v>191.18</v>
      </c>
      <c r="P26" s="9">
        <v>12.55</v>
      </c>
      <c r="Q26" s="9">
        <f>'[1]Feb 2023'!Q26+'march 2023'!P26</f>
        <v>74.59</v>
      </c>
      <c r="R26" s="9">
        <v>0</v>
      </c>
      <c r="S26" s="9">
        <f>'[1]Feb 2023'!S26+'march 2023'!R26</f>
        <v>0.42</v>
      </c>
      <c r="T26" s="10">
        <f t="shared" si="2"/>
        <v>203.73000000000002</v>
      </c>
      <c r="U26" s="10">
        <f t="shared" si="3"/>
        <v>1441.8419999999994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'[1]Feb 2023'!H27</f>
        <v>10406.166999999992</v>
      </c>
      <c r="D27" s="9">
        <v>7.99</v>
      </c>
      <c r="E27" s="9">
        <f>'[1]Feb 2023'!E27+'march 2023'!D27</f>
        <v>115.97</v>
      </c>
      <c r="F27" s="9">
        <v>0</v>
      </c>
      <c r="G27" s="9">
        <f>'[1]Feb 2023'!G27+'march 2023'!F27</f>
        <v>0</v>
      </c>
      <c r="H27" s="9">
        <f t="shared" si="0"/>
        <v>10414.156999999992</v>
      </c>
      <c r="I27" s="9">
        <f>'[1]Feb 2023'!N27</f>
        <v>404.88499999999999</v>
      </c>
      <c r="J27" s="9">
        <v>3.55</v>
      </c>
      <c r="K27" s="9">
        <f>'[1]Feb 2023'!K27+'march 2023'!J27</f>
        <v>23.4</v>
      </c>
      <c r="L27" s="9">
        <v>0</v>
      </c>
      <c r="M27" s="9">
        <f>'[1]Feb 2023'!M27+'march 2023'!L27</f>
        <v>0</v>
      </c>
      <c r="N27" s="9">
        <f t="shared" si="1"/>
        <v>408.435</v>
      </c>
      <c r="O27" s="10">
        <f>'[1]Feb 2023'!T27</f>
        <v>43.160000000000018</v>
      </c>
      <c r="P27" s="9">
        <v>0.36</v>
      </c>
      <c r="Q27" s="9">
        <f>'[1]Feb 2023'!Q27+'march 2023'!P27</f>
        <v>13.39</v>
      </c>
      <c r="R27" s="9">
        <v>0</v>
      </c>
      <c r="S27" s="9">
        <f>'[1]Feb 2023'!S27+'march 2023'!R27</f>
        <v>45.22</v>
      </c>
      <c r="T27" s="10">
        <f t="shared" si="2"/>
        <v>43.520000000000017</v>
      </c>
      <c r="U27" s="10">
        <f t="shared" si="3"/>
        <v>10866.111999999992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'[1]Feb 2023'!H28</f>
        <v>11617.978999999992</v>
      </c>
      <c r="D28" s="15">
        <f t="shared" ref="D28:U28" si="9">SUM(D26:D27)</f>
        <v>34.18</v>
      </c>
      <c r="E28" s="15">
        <f t="shared" si="9"/>
        <v>170.32999999999998</v>
      </c>
      <c r="F28" s="15">
        <f t="shared" si="9"/>
        <v>0</v>
      </c>
      <c r="G28" s="15">
        <f>'[1]Feb 2023'!G28+'march 2023'!F28</f>
        <v>0</v>
      </c>
      <c r="H28" s="15">
        <f t="shared" si="9"/>
        <v>11652.158999999992</v>
      </c>
      <c r="I28" s="15">
        <f t="shared" si="9"/>
        <v>404.995</v>
      </c>
      <c r="J28" s="15">
        <f t="shared" si="9"/>
        <v>3.55</v>
      </c>
      <c r="K28" s="15">
        <f t="shared" si="9"/>
        <v>23.549999999999997</v>
      </c>
      <c r="L28" s="15">
        <f t="shared" si="9"/>
        <v>0</v>
      </c>
      <c r="M28" s="15">
        <f t="shared" si="9"/>
        <v>0.04</v>
      </c>
      <c r="N28" s="15">
        <f t="shared" si="9"/>
        <v>408.54500000000002</v>
      </c>
      <c r="O28" s="15">
        <f t="shared" si="9"/>
        <v>234.34000000000003</v>
      </c>
      <c r="P28" s="15">
        <f t="shared" si="9"/>
        <v>12.91</v>
      </c>
      <c r="Q28" s="15">
        <f>'[1]Feb 2023'!Q28+'march 2023'!P28</f>
        <v>87.98</v>
      </c>
      <c r="R28" s="15">
        <f t="shared" si="9"/>
        <v>0</v>
      </c>
      <c r="S28" s="15">
        <f>'[1]Feb 2023'!S28+'march 2023'!R28</f>
        <v>45.64</v>
      </c>
      <c r="T28" s="15">
        <f t="shared" si="9"/>
        <v>247.25000000000003</v>
      </c>
      <c r="U28" s="15">
        <f t="shared" si="9"/>
        <v>12307.953999999991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'[1]Feb 2023'!H29</f>
        <v>4540.8360000000011</v>
      </c>
      <c r="D29" s="9">
        <v>10.202999999999999</v>
      </c>
      <c r="E29" s="9">
        <f>'[1]Feb 2023'!E29+'march 2023'!D29</f>
        <v>149.42600000000002</v>
      </c>
      <c r="F29" s="9">
        <v>0</v>
      </c>
      <c r="G29" s="9">
        <f>'[1]Feb 2023'!G29+'march 2023'!F29</f>
        <v>0</v>
      </c>
      <c r="H29" s="9">
        <f t="shared" si="0"/>
        <v>4551.0390000000016</v>
      </c>
      <c r="I29" s="9">
        <f>'[1]Feb 2023'!N29</f>
        <v>184.70000000000002</v>
      </c>
      <c r="J29" s="9">
        <v>0</v>
      </c>
      <c r="K29" s="9">
        <f>'[1]Feb 2023'!K29+'march 2023'!J29</f>
        <v>113.00999999999999</v>
      </c>
      <c r="L29" s="9">
        <v>0</v>
      </c>
      <c r="M29" s="9">
        <f>'[1]Feb 2023'!M29+'march 2023'!L29</f>
        <v>0</v>
      </c>
      <c r="N29" s="9">
        <f t="shared" si="1"/>
        <v>184.70000000000002</v>
      </c>
      <c r="O29" s="10">
        <f>'[1]Feb 2023'!T29</f>
        <v>517.27</v>
      </c>
      <c r="P29" s="9">
        <v>0</v>
      </c>
      <c r="Q29" s="9">
        <f>'[1]Feb 2023'!Q29+'march 2023'!P29</f>
        <v>379.19</v>
      </c>
      <c r="R29" s="9">
        <v>0</v>
      </c>
      <c r="S29" s="9">
        <f>'[1]Feb 2023'!S29+'march 2023'!R29</f>
        <v>0</v>
      </c>
      <c r="T29" s="10">
        <f t="shared" si="2"/>
        <v>517.27</v>
      </c>
      <c r="U29" s="10">
        <f t="shared" si="3"/>
        <v>5253.0090000000018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'[1]Feb 2023'!H30</f>
        <v>6437.9220000000023</v>
      </c>
      <c r="D30" s="9">
        <v>13.07</v>
      </c>
      <c r="E30" s="9">
        <f>'[1]Feb 2023'!E30+'march 2023'!D30</f>
        <v>275.64800000000002</v>
      </c>
      <c r="F30" s="9">
        <v>0</v>
      </c>
      <c r="G30" s="9">
        <f>'[1]Feb 2023'!G30+'march 2023'!F30</f>
        <v>0</v>
      </c>
      <c r="H30" s="9">
        <f t="shared" si="0"/>
        <v>6450.992000000002</v>
      </c>
      <c r="I30" s="9">
        <f>'[1]Feb 2023'!N30</f>
        <v>130.80000000000001</v>
      </c>
      <c r="J30" s="9">
        <v>0</v>
      </c>
      <c r="K30" s="9">
        <f>'[1]Feb 2023'!K30+'march 2023'!J30</f>
        <v>130.80000000000001</v>
      </c>
      <c r="L30" s="9">
        <v>0</v>
      </c>
      <c r="M30" s="9">
        <f>'[1]Feb 2023'!M30+'march 2023'!L30</f>
        <v>0</v>
      </c>
      <c r="N30" s="9">
        <f t="shared" si="1"/>
        <v>130.80000000000001</v>
      </c>
      <c r="O30" s="10">
        <f>'[1]Feb 2023'!T30</f>
        <v>194.78</v>
      </c>
      <c r="P30" s="9">
        <v>0</v>
      </c>
      <c r="Q30" s="9">
        <f>'[1]Feb 2023'!Q30+'march 2023'!P30</f>
        <v>194.55999999999997</v>
      </c>
      <c r="R30" s="9">
        <v>0</v>
      </c>
      <c r="S30" s="9">
        <f>'[1]Feb 2023'!S30+'march 2023'!R30</f>
        <v>0</v>
      </c>
      <c r="T30" s="10">
        <f t="shared" si="2"/>
        <v>194.78</v>
      </c>
      <c r="U30" s="10">
        <f t="shared" si="3"/>
        <v>6776.5720000000019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'[1]Feb 2023'!H31</f>
        <v>3121.7139999999995</v>
      </c>
      <c r="D31" s="9">
        <v>6.641</v>
      </c>
      <c r="E31" s="9">
        <f>'[1]Feb 2023'!E31+'march 2023'!D31</f>
        <v>57.672000000000004</v>
      </c>
      <c r="F31" s="9">
        <v>0</v>
      </c>
      <c r="G31" s="9">
        <f>'[1]Feb 2023'!G31+'march 2023'!F31</f>
        <v>3.38</v>
      </c>
      <c r="H31" s="9">
        <f t="shared" si="0"/>
        <v>3128.3549999999996</v>
      </c>
      <c r="I31" s="9">
        <f>'[1]Feb 2023'!N31</f>
        <v>50.180000000000007</v>
      </c>
      <c r="J31" s="9">
        <v>0</v>
      </c>
      <c r="K31" s="9">
        <f>'[1]Feb 2023'!K31+'march 2023'!J31</f>
        <v>47.02</v>
      </c>
      <c r="L31" s="9">
        <v>0</v>
      </c>
      <c r="M31" s="9">
        <f>'[1]Feb 2023'!M31+'march 2023'!L31</f>
        <v>0</v>
      </c>
      <c r="N31" s="9">
        <f t="shared" si="1"/>
        <v>50.180000000000007</v>
      </c>
      <c r="O31" s="10">
        <f>'[1]Feb 2023'!T31</f>
        <v>244.44</v>
      </c>
      <c r="P31" s="9">
        <v>0</v>
      </c>
      <c r="Q31" s="9">
        <f>'[1]Feb 2023'!Q31+'march 2023'!P31</f>
        <v>115.96000000000001</v>
      </c>
      <c r="R31" s="9">
        <v>0</v>
      </c>
      <c r="S31" s="9">
        <f>'[1]Feb 2023'!S31+'march 2023'!R31</f>
        <v>0</v>
      </c>
      <c r="T31" s="10">
        <f t="shared" si="2"/>
        <v>244.44</v>
      </c>
      <c r="U31" s="10">
        <f t="shared" si="3"/>
        <v>3422.9749999999995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'[1]Feb 2023'!H32</f>
        <v>4390.03</v>
      </c>
      <c r="D32" s="9">
        <v>11.25</v>
      </c>
      <c r="E32" s="9">
        <f>'[1]Feb 2023'!E32+'march 2023'!D32</f>
        <v>45.41</v>
      </c>
      <c r="F32" s="9">
        <v>0</v>
      </c>
      <c r="G32" s="9">
        <f>'[1]Feb 2023'!G32+'march 2023'!F32</f>
        <v>12.81</v>
      </c>
      <c r="H32" s="9">
        <f t="shared" si="0"/>
        <v>4401.28</v>
      </c>
      <c r="I32" s="9">
        <f>'[1]Feb 2023'!N32</f>
        <v>226.37999999999997</v>
      </c>
      <c r="J32" s="9">
        <v>0</v>
      </c>
      <c r="K32" s="9">
        <f>'[1]Feb 2023'!K32+'march 2023'!J32</f>
        <v>92.539999999999992</v>
      </c>
      <c r="L32" s="9">
        <v>0</v>
      </c>
      <c r="M32" s="9">
        <f>'[1]Feb 2023'!M32+'march 2023'!L32</f>
        <v>0</v>
      </c>
      <c r="N32" s="9">
        <f t="shared" si="1"/>
        <v>226.37999999999997</v>
      </c>
      <c r="O32" s="10">
        <f>'[1]Feb 2023'!T32</f>
        <v>243.64999999999995</v>
      </c>
      <c r="P32" s="9">
        <v>0</v>
      </c>
      <c r="Q32" s="9">
        <f>'[1]Feb 2023'!Q32+'march 2023'!P32</f>
        <v>0.01</v>
      </c>
      <c r="R32" s="9">
        <v>0</v>
      </c>
      <c r="S32" s="9">
        <f>'[1]Feb 2023'!S32+'march 2023'!R32</f>
        <v>27.41</v>
      </c>
      <c r="T32" s="10">
        <f t="shared" si="2"/>
        <v>243.64999999999995</v>
      </c>
      <c r="U32" s="10">
        <f t="shared" si="3"/>
        <v>4871.3099999999995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'[1]Feb 2023'!H33</f>
        <v>18490.502000000004</v>
      </c>
      <c r="D33" s="15">
        <f t="shared" ref="D33:U33" si="10">SUM(D29:D32)</f>
        <v>41.164000000000001</v>
      </c>
      <c r="E33" s="15">
        <f t="shared" si="10"/>
        <v>528.15600000000006</v>
      </c>
      <c r="F33" s="15">
        <f t="shared" si="10"/>
        <v>0</v>
      </c>
      <c r="G33" s="15">
        <f>'[1]Feb 2023'!G33+'march 2023'!F33</f>
        <v>16.190000000000001</v>
      </c>
      <c r="H33" s="15">
        <f t="shared" si="10"/>
        <v>18531.666000000001</v>
      </c>
      <c r="I33" s="15">
        <f t="shared" si="10"/>
        <v>592.05999999999995</v>
      </c>
      <c r="J33" s="15">
        <f t="shared" si="10"/>
        <v>0</v>
      </c>
      <c r="K33" s="15">
        <f t="shared" si="10"/>
        <v>383.37</v>
      </c>
      <c r="L33" s="15">
        <f t="shared" si="10"/>
        <v>0</v>
      </c>
      <c r="M33" s="15">
        <f t="shared" si="10"/>
        <v>0</v>
      </c>
      <c r="N33" s="15">
        <f t="shared" si="10"/>
        <v>592.05999999999995</v>
      </c>
      <c r="O33" s="15">
        <f t="shared" si="10"/>
        <v>1200.1399999999999</v>
      </c>
      <c r="P33" s="15">
        <f t="shared" si="10"/>
        <v>0</v>
      </c>
      <c r="Q33" s="15">
        <f>'[1]Feb 2023'!Q33+'march 2023'!P33</f>
        <v>689.72000000000014</v>
      </c>
      <c r="R33" s="15">
        <f t="shared" si="10"/>
        <v>0</v>
      </c>
      <c r="S33" s="15">
        <f>'[1]Feb 2023'!S33+'march 2023'!R33</f>
        <v>27.41</v>
      </c>
      <c r="T33" s="15">
        <f t="shared" si="10"/>
        <v>1200.1399999999999</v>
      </c>
      <c r="U33" s="15">
        <f t="shared" si="10"/>
        <v>20323.866000000002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'[1]Feb 2023'!H34</f>
        <v>6101.7100000000019</v>
      </c>
      <c r="D34" s="9">
        <f>4.4+21.89</f>
        <v>26.29</v>
      </c>
      <c r="E34" s="9">
        <f>'[1]Feb 2023'!E34+'march 2023'!D34</f>
        <v>261.89000000000004</v>
      </c>
      <c r="F34" s="9">
        <v>0</v>
      </c>
      <c r="G34" s="9">
        <f>'[1]Feb 2023'!G34+'march 2023'!F34</f>
        <v>0</v>
      </c>
      <c r="H34" s="9">
        <f t="shared" si="0"/>
        <v>6128.0000000000018</v>
      </c>
      <c r="I34" s="9">
        <f>'[1]Feb 2023'!N34</f>
        <v>2</v>
      </c>
      <c r="J34" s="9">
        <v>0</v>
      </c>
      <c r="K34" s="9">
        <f>'[1]Feb 2023'!K34+'march 2023'!J34</f>
        <v>2</v>
      </c>
      <c r="L34" s="9">
        <v>0</v>
      </c>
      <c r="M34" s="9">
        <f>'[1]Feb 2023'!M34+'march 2023'!L34</f>
        <v>0</v>
      </c>
      <c r="N34" s="9">
        <f t="shared" si="1"/>
        <v>2</v>
      </c>
      <c r="O34" s="10">
        <f>'[1]Feb 2023'!T34</f>
        <v>38.700000000000003</v>
      </c>
      <c r="P34" s="9">
        <v>0</v>
      </c>
      <c r="Q34" s="9">
        <f>'[1]Feb 2023'!Q34+'march 2023'!P34</f>
        <v>38.700000000000003</v>
      </c>
      <c r="R34" s="9">
        <v>0</v>
      </c>
      <c r="S34" s="9">
        <f>'[1]Feb 2023'!S34+'march 2023'!R34</f>
        <v>0</v>
      </c>
      <c r="T34" s="10">
        <f t="shared" si="2"/>
        <v>38.700000000000003</v>
      </c>
      <c r="U34" s="10">
        <f t="shared" si="3"/>
        <v>6168.7000000000016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'[1]Feb 2023'!H35</f>
        <v>4846.1550000000016</v>
      </c>
      <c r="D35" s="9">
        <f>32.98+30.63</f>
        <v>63.61</v>
      </c>
      <c r="E35" s="9">
        <f>'[1]Feb 2023'!E35+'march 2023'!D35</f>
        <v>298.5</v>
      </c>
      <c r="F35" s="9">
        <v>0</v>
      </c>
      <c r="G35" s="9">
        <f>'[1]Feb 2023'!G35+'march 2023'!F35</f>
        <v>13.64</v>
      </c>
      <c r="H35" s="9">
        <f t="shared" si="0"/>
        <v>4909.7650000000012</v>
      </c>
      <c r="I35" s="9">
        <f>'[1]Feb 2023'!N35</f>
        <v>0.1</v>
      </c>
      <c r="J35" s="9">
        <v>0</v>
      </c>
      <c r="K35" s="9">
        <f>'[1]Feb 2023'!K35+'march 2023'!J35</f>
        <v>0</v>
      </c>
      <c r="L35" s="9">
        <v>0</v>
      </c>
      <c r="M35" s="9">
        <f>'[1]Feb 2023'!M35+'march 2023'!L35</f>
        <v>0</v>
      </c>
      <c r="N35" s="9">
        <f t="shared" si="1"/>
        <v>0.1</v>
      </c>
      <c r="O35" s="10">
        <f>'[1]Feb 2023'!T35</f>
        <v>125.47000000000001</v>
      </c>
      <c r="P35" s="9">
        <v>0</v>
      </c>
      <c r="Q35" s="9">
        <f>'[1]Feb 2023'!Q35+'march 2023'!P35</f>
        <v>109.04</v>
      </c>
      <c r="R35" s="9">
        <v>0</v>
      </c>
      <c r="S35" s="9">
        <f>'[1]Feb 2023'!S35+'march 2023'!R35</f>
        <v>0</v>
      </c>
      <c r="T35" s="10">
        <f t="shared" si="2"/>
        <v>125.47000000000001</v>
      </c>
      <c r="U35" s="10">
        <f t="shared" si="3"/>
        <v>5035.3350000000019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'[1]Feb 2023'!H36</f>
        <v>19424.840000000004</v>
      </c>
      <c r="D36" s="9">
        <f>22.09+22.09</f>
        <v>44.18</v>
      </c>
      <c r="E36" s="9">
        <f>'[1]Feb 2023'!E36+'march 2023'!D36</f>
        <v>102.15</v>
      </c>
      <c r="F36" s="9">
        <v>0</v>
      </c>
      <c r="G36" s="9">
        <f>'[1]Feb 2023'!G36+'march 2023'!F36</f>
        <v>0</v>
      </c>
      <c r="H36" s="9">
        <f t="shared" si="0"/>
        <v>19469.020000000004</v>
      </c>
      <c r="I36" s="9">
        <f>'[1]Feb 2023'!N36</f>
        <v>8.5</v>
      </c>
      <c r="J36" s="9">
        <v>0</v>
      </c>
      <c r="K36" s="9">
        <f>'[1]Feb 2023'!K36+'march 2023'!J36</f>
        <v>0</v>
      </c>
      <c r="L36" s="9">
        <v>0</v>
      </c>
      <c r="M36" s="9">
        <f>'[1]Feb 2023'!M36+'march 2023'!L36</f>
        <v>0</v>
      </c>
      <c r="N36" s="9">
        <f t="shared" si="1"/>
        <v>8.5</v>
      </c>
      <c r="O36" s="10">
        <f>'[1]Feb 2023'!T36</f>
        <v>72.39</v>
      </c>
      <c r="P36" s="9">
        <v>0</v>
      </c>
      <c r="Q36" s="9">
        <f>'[1]Feb 2023'!Q36+'march 2023'!P36</f>
        <v>72.39</v>
      </c>
      <c r="R36" s="9">
        <v>0</v>
      </c>
      <c r="S36" s="9">
        <f>'[1]Feb 2023'!S36+'march 2023'!R36</f>
        <v>0</v>
      </c>
      <c r="T36" s="10">
        <f t="shared" si="2"/>
        <v>72.39</v>
      </c>
      <c r="U36" s="10">
        <f t="shared" si="3"/>
        <v>19549.910000000003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'[1]Feb 2023'!H37</f>
        <v>7024.24</v>
      </c>
      <c r="D37" s="9">
        <v>0.72</v>
      </c>
      <c r="E37" s="9">
        <f>'[1]Feb 2023'!E37+'march 2023'!D37</f>
        <v>17.36</v>
      </c>
      <c r="F37" s="9">
        <v>0</v>
      </c>
      <c r="G37" s="9">
        <f>'[1]Feb 2023'!G37+'march 2023'!F37</f>
        <v>0</v>
      </c>
      <c r="H37" s="9">
        <f t="shared" si="0"/>
        <v>7024.96</v>
      </c>
      <c r="I37" s="9">
        <f>'[1]Feb 2023'!N37</f>
        <v>0</v>
      </c>
      <c r="J37" s="9">
        <v>0</v>
      </c>
      <c r="K37" s="9">
        <f>'[1]Feb 2023'!K37+'march 2023'!J37</f>
        <v>0</v>
      </c>
      <c r="L37" s="9">
        <v>0</v>
      </c>
      <c r="M37" s="9">
        <f>'[1]Feb 2023'!M37+'march 2023'!L37</f>
        <v>0</v>
      </c>
      <c r="N37" s="9">
        <f t="shared" si="1"/>
        <v>0</v>
      </c>
      <c r="O37" s="10">
        <f>'[1]Feb 2023'!T37</f>
        <v>3.1</v>
      </c>
      <c r="P37" s="9">
        <v>0</v>
      </c>
      <c r="Q37" s="9">
        <f>'[1]Feb 2023'!Q37+'march 2023'!P37</f>
        <v>0</v>
      </c>
      <c r="R37" s="9">
        <v>0</v>
      </c>
      <c r="S37" s="9">
        <f>'[1]Feb 2023'!S37+'march 2023'!R37</f>
        <v>0</v>
      </c>
      <c r="T37" s="10">
        <f t="shared" si="2"/>
        <v>3.1</v>
      </c>
      <c r="U37" s="10">
        <f t="shared" si="3"/>
        <v>7028.06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'[1]Feb 2023'!H38</f>
        <v>37396.945000000007</v>
      </c>
      <c r="D38" s="15">
        <f t="shared" ref="D38:U38" si="11">SUM(D34:D37)</f>
        <v>134.80000000000001</v>
      </c>
      <c r="E38" s="15">
        <f t="shared" si="11"/>
        <v>679.90000000000009</v>
      </c>
      <c r="F38" s="15">
        <f t="shared" si="11"/>
        <v>0</v>
      </c>
      <c r="G38" s="15">
        <f>'[1]Feb 2023'!G38+'march 2023'!F38</f>
        <v>13.64</v>
      </c>
      <c r="H38" s="15">
        <f t="shared" si="11"/>
        <v>37531.74500000001</v>
      </c>
      <c r="I38" s="15">
        <f t="shared" si="11"/>
        <v>10.6</v>
      </c>
      <c r="J38" s="15">
        <f t="shared" si="11"/>
        <v>0</v>
      </c>
      <c r="K38" s="15">
        <f t="shared" si="11"/>
        <v>2</v>
      </c>
      <c r="L38" s="15">
        <f t="shared" si="11"/>
        <v>0</v>
      </c>
      <c r="M38" s="15">
        <f t="shared" si="11"/>
        <v>0</v>
      </c>
      <c r="N38" s="15">
        <f t="shared" si="11"/>
        <v>10.6</v>
      </c>
      <c r="O38" s="15">
        <f t="shared" si="11"/>
        <v>239.66</v>
      </c>
      <c r="P38" s="15">
        <f t="shared" si="11"/>
        <v>0</v>
      </c>
      <c r="Q38" s="15">
        <f>'[1]Feb 2023'!Q38+'march 2023'!P38</f>
        <v>220.13</v>
      </c>
      <c r="R38" s="15">
        <f t="shared" si="11"/>
        <v>0</v>
      </c>
      <c r="S38" s="15">
        <f>'[1]Feb 2023'!S38+'march 2023'!R38</f>
        <v>0</v>
      </c>
      <c r="T38" s="15">
        <f t="shared" si="11"/>
        <v>239.66</v>
      </c>
      <c r="U38" s="15">
        <f t="shared" si="11"/>
        <v>37782.005000000005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'[1]Feb 2023'!H39</f>
        <v>67505.426000000007</v>
      </c>
      <c r="D39" s="15">
        <f t="shared" ref="D39:U39" si="12">D38+D33+D28</f>
        <v>210.14400000000001</v>
      </c>
      <c r="E39" s="15">
        <f t="shared" si="12"/>
        <v>1378.386</v>
      </c>
      <c r="F39" s="15">
        <f t="shared" si="12"/>
        <v>0</v>
      </c>
      <c r="G39" s="15">
        <f>'[1]Feb 2023'!G39+'march 2023'!F39</f>
        <v>29.830000000000002</v>
      </c>
      <c r="H39" s="15">
        <f t="shared" si="12"/>
        <v>67715.570000000007</v>
      </c>
      <c r="I39" s="15">
        <f t="shared" si="12"/>
        <v>1007.655</v>
      </c>
      <c r="J39" s="15">
        <f t="shared" si="12"/>
        <v>3.55</v>
      </c>
      <c r="K39" s="15">
        <f t="shared" si="12"/>
        <v>408.92</v>
      </c>
      <c r="L39" s="15">
        <f t="shared" si="12"/>
        <v>0</v>
      </c>
      <c r="M39" s="15">
        <f t="shared" si="12"/>
        <v>0.04</v>
      </c>
      <c r="N39" s="15">
        <f t="shared" si="12"/>
        <v>1011.2049999999999</v>
      </c>
      <c r="O39" s="15">
        <f t="shared" si="12"/>
        <v>1674.1399999999999</v>
      </c>
      <c r="P39" s="15">
        <f t="shared" si="12"/>
        <v>12.91</v>
      </c>
      <c r="Q39" s="15">
        <f>'[1]Feb 2023'!Q39+'march 2023'!P39</f>
        <v>997.82999999999981</v>
      </c>
      <c r="R39" s="15">
        <f t="shared" si="12"/>
        <v>0</v>
      </c>
      <c r="S39" s="15">
        <f>'[1]Feb 2023'!S39+'march 2023'!R39</f>
        <v>73.05</v>
      </c>
      <c r="T39" s="15">
        <f t="shared" si="12"/>
        <v>1687.05</v>
      </c>
      <c r="U39" s="15">
        <f t="shared" si="12"/>
        <v>70413.824999999997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'[1]Feb 2023'!H40</f>
        <v>13900.558000000003</v>
      </c>
      <c r="D40" s="9">
        <v>8.69</v>
      </c>
      <c r="E40" s="9">
        <f>'[1]Feb 2023'!E40+'march 2023'!D40</f>
        <v>124.39999999999998</v>
      </c>
      <c r="F40" s="9">
        <v>0</v>
      </c>
      <c r="G40" s="9">
        <f>'[1]Feb 2023'!G40+'march 2023'!F40</f>
        <v>0.24</v>
      </c>
      <c r="H40" s="9">
        <f t="shared" si="0"/>
        <v>13909.248000000003</v>
      </c>
      <c r="I40" s="9">
        <f>'[1]Feb 2023'!N40</f>
        <v>226.8</v>
      </c>
      <c r="J40" s="9">
        <v>0</v>
      </c>
      <c r="K40" s="9">
        <f>'[1]Feb 2023'!K40+'march 2023'!J40</f>
        <v>226.8</v>
      </c>
      <c r="L40" s="9">
        <v>0</v>
      </c>
      <c r="M40" s="9">
        <f>'[1]Feb 2023'!M40+'march 2023'!L40</f>
        <v>0</v>
      </c>
      <c r="N40" s="9">
        <f t="shared" si="1"/>
        <v>226.8</v>
      </c>
      <c r="O40" s="10">
        <f>'[1]Feb 2023'!T40</f>
        <v>75.02000000000001</v>
      </c>
      <c r="P40" s="9">
        <v>0</v>
      </c>
      <c r="Q40" s="9">
        <f>'[1]Feb 2023'!Q40+'march 2023'!P40</f>
        <v>75.02000000000001</v>
      </c>
      <c r="R40" s="9">
        <v>0</v>
      </c>
      <c r="S40" s="9">
        <f>'[1]Feb 2023'!S40+'march 2023'!R40</f>
        <v>0</v>
      </c>
      <c r="T40" s="10">
        <f t="shared" si="2"/>
        <v>75.02000000000001</v>
      </c>
      <c r="U40" s="10">
        <f t="shared" si="3"/>
        <v>14211.068000000003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'[1]Feb 2023'!H41</f>
        <v>10688.755999999994</v>
      </c>
      <c r="D41" s="9">
        <v>3.48</v>
      </c>
      <c r="E41" s="9">
        <f>'[1]Feb 2023'!E41+'march 2023'!D41</f>
        <v>582.52</v>
      </c>
      <c r="F41" s="9">
        <v>0</v>
      </c>
      <c r="G41" s="9">
        <f>'[1]Feb 2023'!G41+'march 2023'!F41</f>
        <v>0</v>
      </c>
      <c r="H41" s="9">
        <f t="shared" si="0"/>
        <v>10692.235999999994</v>
      </c>
      <c r="I41" s="9">
        <f>'[1]Feb 2023'!N41</f>
        <v>0</v>
      </c>
      <c r="J41" s="9">
        <v>0</v>
      </c>
      <c r="K41" s="9">
        <f>'[1]Feb 2023'!K41+'march 2023'!J41</f>
        <v>0</v>
      </c>
      <c r="L41" s="9">
        <v>0</v>
      </c>
      <c r="M41" s="9">
        <f>'[1]Feb 2023'!M41+'march 2023'!L41</f>
        <v>0</v>
      </c>
      <c r="N41" s="9">
        <f t="shared" si="1"/>
        <v>0</v>
      </c>
      <c r="O41" s="10">
        <f>'[1]Feb 2023'!T41</f>
        <v>89.580000000000013</v>
      </c>
      <c r="P41" s="9">
        <v>0</v>
      </c>
      <c r="Q41" s="9">
        <f>'[1]Feb 2023'!Q41+'march 2023'!P41</f>
        <v>89.580000000000013</v>
      </c>
      <c r="R41" s="9">
        <v>0</v>
      </c>
      <c r="S41" s="9">
        <f>'[1]Feb 2023'!S41+'march 2023'!R41</f>
        <v>0</v>
      </c>
      <c r="T41" s="10">
        <f t="shared" si="2"/>
        <v>89.580000000000013</v>
      </c>
      <c r="U41" s="10">
        <f t="shared" si="3"/>
        <v>10781.815999999993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'[1]Feb 2023'!H42</f>
        <v>23987.464000000004</v>
      </c>
      <c r="D42" s="9">
        <f>5.95+86.82</f>
        <v>92.77</v>
      </c>
      <c r="E42" s="9">
        <f>'[1]Feb 2023'!E42+'march 2023'!D42</f>
        <v>206.32</v>
      </c>
      <c r="F42" s="9">
        <v>0</v>
      </c>
      <c r="G42" s="9">
        <f>'[1]Feb 2023'!G42+'march 2023'!F42</f>
        <v>0</v>
      </c>
      <c r="H42" s="9">
        <f t="shared" si="0"/>
        <v>24080.234000000004</v>
      </c>
      <c r="I42" s="9">
        <f>'[1]Feb 2023'!N42</f>
        <v>0</v>
      </c>
      <c r="J42" s="9">
        <v>0</v>
      </c>
      <c r="K42" s="9">
        <f>'[1]Feb 2023'!K42+'march 2023'!J42</f>
        <v>0</v>
      </c>
      <c r="L42" s="9">
        <v>0</v>
      </c>
      <c r="M42" s="9">
        <f>'[1]Feb 2023'!M42+'march 2023'!L42</f>
        <v>0</v>
      </c>
      <c r="N42" s="9">
        <f t="shared" si="1"/>
        <v>0</v>
      </c>
      <c r="O42" s="10">
        <f>'[1]Feb 2023'!T42</f>
        <v>38.47</v>
      </c>
      <c r="P42" s="9">
        <v>0</v>
      </c>
      <c r="Q42" s="9">
        <f>'[1]Feb 2023'!Q42+'march 2023'!P42</f>
        <v>38.47</v>
      </c>
      <c r="R42" s="9">
        <v>0</v>
      </c>
      <c r="S42" s="9">
        <f>'[1]Feb 2023'!S42+'march 2023'!R42</f>
        <v>0</v>
      </c>
      <c r="T42" s="10">
        <f t="shared" si="2"/>
        <v>38.47</v>
      </c>
      <c r="U42" s="10">
        <f t="shared" si="3"/>
        <v>24118.704000000005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'[1]Feb 2023'!H43</f>
        <v>2468.0030000000002</v>
      </c>
      <c r="D43" s="9">
        <v>12</v>
      </c>
      <c r="E43" s="9">
        <f>'[1]Feb 2023'!E43+'march 2023'!D43</f>
        <v>193.54</v>
      </c>
      <c r="F43" s="9">
        <v>0</v>
      </c>
      <c r="G43" s="9">
        <f>'[1]Feb 2023'!G43+'march 2023'!F43</f>
        <v>0</v>
      </c>
      <c r="H43" s="9">
        <f t="shared" si="0"/>
        <v>2480.0030000000002</v>
      </c>
      <c r="I43" s="9">
        <f>'[1]Feb 2023'!N43</f>
        <v>0</v>
      </c>
      <c r="J43" s="9">
        <v>0</v>
      </c>
      <c r="K43" s="9">
        <f>'[1]Feb 2023'!K43+'march 2023'!J43</f>
        <v>0</v>
      </c>
      <c r="L43" s="9">
        <v>0</v>
      </c>
      <c r="M43" s="9">
        <f>'[1]Feb 2023'!M43+'march 2023'!L43</f>
        <v>0</v>
      </c>
      <c r="N43" s="9">
        <f t="shared" si="1"/>
        <v>0</v>
      </c>
      <c r="O43" s="10">
        <f>'[1]Feb 2023'!T43</f>
        <v>146.49</v>
      </c>
      <c r="P43" s="9">
        <v>0</v>
      </c>
      <c r="Q43" s="9">
        <f>'[1]Feb 2023'!Q43+'march 2023'!P43</f>
        <v>146.49</v>
      </c>
      <c r="R43" s="9">
        <v>0</v>
      </c>
      <c r="S43" s="9">
        <f>'[1]Feb 2023'!S43+'march 2023'!R43</f>
        <v>0</v>
      </c>
      <c r="T43" s="10">
        <f t="shared" si="2"/>
        <v>146.49</v>
      </c>
      <c r="U43" s="10">
        <f t="shared" si="3"/>
        <v>2626.4930000000004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'[1]Feb 2023'!H44</f>
        <v>51044.781000000003</v>
      </c>
      <c r="D44" s="15">
        <f t="shared" ref="D44:U44" si="13">SUM(D40:D43)</f>
        <v>116.94</v>
      </c>
      <c r="E44" s="15">
        <f t="shared" si="13"/>
        <v>1106.78</v>
      </c>
      <c r="F44" s="15">
        <f t="shared" si="13"/>
        <v>0</v>
      </c>
      <c r="G44" s="15">
        <f>'[1]Feb 2023'!G44+'march 2023'!F44</f>
        <v>0.24</v>
      </c>
      <c r="H44" s="15">
        <f t="shared" si="13"/>
        <v>51161.720999999998</v>
      </c>
      <c r="I44" s="15">
        <f t="shared" si="13"/>
        <v>226.8</v>
      </c>
      <c r="J44" s="15">
        <f t="shared" si="13"/>
        <v>0</v>
      </c>
      <c r="K44" s="15">
        <f t="shared" si="13"/>
        <v>226.8</v>
      </c>
      <c r="L44" s="15">
        <f t="shared" si="13"/>
        <v>0</v>
      </c>
      <c r="M44" s="15">
        <f t="shared" si="13"/>
        <v>0</v>
      </c>
      <c r="N44" s="15">
        <f t="shared" si="13"/>
        <v>226.8</v>
      </c>
      <c r="O44" s="15">
        <f t="shared" si="13"/>
        <v>349.56000000000006</v>
      </c>
      <c r="P44" s="15">
        <f t="shared" si="13"/>
        <v>0</v>
      </c>
      <c r="Q44" s="15">
        <f>'[1]Feb 2023'!Q44+'march 2023'!P44</f>
        <v>349.56</v>
      </c>
      <c r="R44" s="15">
        <f t="shared" si="13"/>
        <v>0</v>
      </c>
      <c r="S44" s="15">
        <f>'[1]Feb 2023'!S44+'march 2023'!R44</f>
        <v>0</v>
      </c>
      <c r="T44" s="15">
        <f t="shared" si="13"/>
        <v>349.56000000000006</v>
      </c>
      <c r="U44" s="15">
        <f t="shared" si="13"/>
        <v>51738.081000000006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'[1]Feb 2023'!H45</f>
        <v>14118.045</v>
      </c>
      <c r="D45" s="9">
        <v>7.62</v>
      </c>
      <c r="E45" s="9">
        <f>'[1]Feb 2023'!E45+'march 2023'!D45</f>
        <v>171.61500000000001</v>
      </c>
      <c r="F45" s="9">
        <v>0</v>
      </c>
      <c r="G45" s="9">
        <f>'[1]Feb 2023'!G45+'march 2023'!F45</f>
        <v>0</v>
      </c>
      <c r="H45" s="9">
        <f t="shared" si="0"/>
        <v>14125.665000000001</v>
      </c>
      <c r="I45" s="9">
        <f>'[1]Feb 2023'!N45</f>
        <v>6.67</v>
      </c>
      <c r="J45" s="9">
        <v>0</v>
      </c>
      <c r="K45" s="9">
        <f>'[1]Feb 2023'!K45+'march 2023'!J45</f>
        <v>0.04</v>
      </c>
      <c r="L45" s="9">
        <v>0</v>
      </c>
      <c r="M45" s="9">
        <f>'[1]Feb 2023'!M45+'march 2023'!L45</f>
        <v>0</v>
      </c>
      <c r="N45" s="9">
        <f t="shared" si="1"/>
        <v>6.67</v>
      </c>
      <c r="O45" s="10">
        <f>'[1]Feb 2023'!T45</f>
        <v>105.87000000000002</v>
      </c>
      <c r="P45" s="9">
        <v>0</v>
      </c>
      <c r="Q45" s="9">
        <f>'[1]Feb 2023'!Q45+'march 2023'!P45</f>
        <v>75.7</v>
      </c>
      <c r="R45" s="9">
        <v>0</v>
      </c>
      <c r="S45" s="9">
        <f>'[1]Feb 2023'!S45+'march 2023'!R45</f>
        <v>0</v>
      </c>
      <c r="T45" s="10">
        <f t="shared" si="2"/>
        <v>105.87000000000002</v>
      </c>
      <c r="U45" s="10">
        <f t="shared" si="3"/>
        <v>14238.205000000002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'[1]Feb 2023'!H46</f>
        <v>7386.6849999999986</v>
      </c>
      <c r="D46" s="9">
        <v>26.37</v>
      </c>
      <c r="E46" s="9">
        <f>'[1]Feb 2023'!E46+'march 2023'!D46</f>
        <v>147.72499999999999</v>
      </c>
      <c r="F46" s="9">
        <v>0</v>
      </c>
      <c r="G46" s="9">
        <f>'[1]Feb 2023'!G46+'march 2023'!F46</f>
        <v>0.03</v>
      </c>
      <c r="H46" s="9">
        <f t="shared" si="0"/>
        <v>7413.0549999999985</v>
      </c>
      <c r="I46" s="9">
        <f>'[1]Feb 2023'!N46</f>
        <v>0</v>
      </c>
      <c r="J46" s="9">
        <v>0</v>
      </c>
      <c r="K46" s="9">
        <f>'[1]Feb 2023'!K46+'march 2023'!J46</f>
        <v>0</v>
      </c>
      <c r="L46" s="9">
        <v>0</v>
      </c>
      <c r="M46" s="9">
        <f>'[1]Feb 2023'!M46+'march 2023'!L46</f>
        <v>0</v>
      </c>
      <c r="N46" s="9">
        <f t="shared" si="1"/>
        <v>0</v>
      </c>
      <c r="O46" s="10">
        <f>'[1]Feb 2023'!T46</f>
        <v>7.5900000000000007</v>
      </c>
      <c r="P46" s="9">
        <v>0</v>
      </c>
      <c r="Q46" s="9">
        <f>'[1]Feb 2023'!Q46+'march 2023'!P46</f>
        <v>0</v>
      </c>
      <c r="R46" s="9">
        <v>0</v>
      </c>
      <c r="S46" s="9">
        <f>'[1]Feb 2023'!S46+'march 2023'!R46</f>
        <v>0.31</v>
      </c>
      <c r="T46" s="10">
        <f t="shared" si="2"/>
        <v>7.5900000000000007</v>
      </c>
      <c r="U46" s="10">
        <f t="shared" si="3"/>
        <v>7420.6449999999986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'[1]Feb 2023'!H47</f>
        <v>12303.770000000004</v>
      </c>
      <c r="D47" s="9">
        <v>0.27</v>
      </c>
      <c r="E47" s="9">
        <f>'[1]Feb 2023'!E47+'march 2023'!D47</f>
        <v>10.779999999999998</v>
      </c>
      <c r="F47" s="9">
        <v>0</v>
      </c>
      <c r="G47" s="9">
        <f>'[1]Feb 2023'!G47+'march 2023'!F47</f>
        <v>0</v>
      </c>
      <c r="H47" s="9">
        <f t="shared" si="0"/>
        <v>12304.040000000005</v>
      </c>
      <c r="I47" s="9">
        <f>'[1]Feb 2023'!N47</f>
        <v>1.2999999999999998</v>
      </c>
      <c r="J47" s="9">
        <v>0</v>
      </c>
      <c r="K47" s="9">
        <f>'[1]Feb 2023'!K47+'march 2023'!J47</f>
        <v>0</v>
      </c>
      <c r="L47" s="9">
        <v>0</v>
      </c>
      <c r="M47" s="9">
        <f>'[1]Feb 2023'!M47+'march 2023'!L47</f>
        <v>0</v>
      </c>
      <c r="N47" s="9">
        <f t="shared" si="1"/>
        <v>1.2999999999999998</v>
      </c>
      <c r="O47" s="10">
        <f>'[1]Feb 2023'!T47</f>
        <v>86.18</v>
      </c>
      <c r="P47" s="9">
        <v>0</v>
      </c>
      <c r="Q47" s="9">
        <f>'[1]Feb 2023'!Q47+'march 2023'!P47</f>
        <v>0</v>
      </c>
      <c r="R47" s="9">
        <v>0</v>
      </c>
      <c r="S47" s="9">
        <f>'[1]Feb 2023'!S47+'march 2023'!R47</f>
        <v>0.1</v>
      </c>
      <c r="T47" s="10">
        <f t="shared" si="2"/>
        <v>86.18</v>
      </c>
      <c r="U47" s="10">
        <f t="shared" si="3"/>
        <v>12391.520000000004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'[1]Feb 2023'!H48</f>
        <v>11106.712000000009</v>
      </c>
      <c r="D48" s="9">
        <v>0.5</v>
      </c>
      <c r="E48" s="9">
        <f>'[1]Feb 2023'!E48+'march 2023'!D48</f>
        <v>17.02</v>
      </c>
      <c r="F48" s="9">
        <v>0</v>
      </c>
      <c r="G48" s="9">
        <f>'[1]Feb 2023'!G48+'march 2023'!F48</f>
        <v>0</v>
      </c>
      <c r="H48" s="9">
        <f t="shared" si="0"/>
        <v>11107.212000000009</v>
      </c>
      <c r="I48" s="9">
        <f>'[1]Feb 2023'!N48</f>
        <v>0</v>
      </c>
      <c r="J48" s="9">
        <v>0</v>
      </c>
      <c r="K48" s="9">
        <f>'[1]Feb 2023'!K48+'march 2023'!J48</f>
        <v>0</v>
      </c>
      <c r="L48" s="9">
        <v>0</v>
      </c>
      <c r="M48" s="9">
        <f>'[1]Feb 2023'!M48+'march 2023'!L48</f>
        <v>0</v>
      </c>
      <c r="N48" s="9">
        <f t="shared" si="1"/>
        <v>0</v>
      </c>
      <c r="O48" s="10">
        <f>'[1]Feb 2023'!T48</f>
        <v>30.53</v>
      </c>
      <c r="P48" s="9">
        <v>0</v>
      </c>
      <c r="Q48" s="9">
        <f>'[1]Feb 2023'!Q48+'march 2023'!P48</f>
        <v>0.53</v>
      </c>
      <c r="R48" s="9">
        <v>0</v>
      </c>
      <c r="S48" s="9">
        <f>'[1]Feb 2023'!S48+'march 2023'!R48</f>
        <v>0</v>
      </c>
      <c r="T48" s="10">
        <f t="shared" si="2"/>
        <v>30.53</v>
      </c>
      <c r="U48" s="10">
        <f t="shared" si="3"/>
        <v>11137.742000000009</v>
      </c>
      <c r="V48" s="75"/>
      <c r="W48" s="11"/>
    </row>
    <row r="49" spans="1:23" s="16" customFormat="1" ht="42.75" customHeight="1">
      <c r="A49" s="13"/>
      <c r="B49" s="14" t="s">
        <v>57</v>
      </c>
      <c r="C49" s="15">
        <f>'[1]Feb 2023'!H49</f>
        <v>44915.212000000007</v>
      </c>
      <c r="D49" s="15">
        <f t="shared" ref="D49:U49" si="14">SUM(D45:D48)</f>
        <v>34.760000000000005</v>
      </c>
      <c r="E49" s="15">
        <f t="shared" si="14"/>
        <v>347.14</v>
      </c>
      <c r="F49" s="15">
        <f t="shared" si="14"/>
        <v>0</v>
      </c>
      <c r="G49" s="15">
        <f>'[1]Feb 2023'!G49+'march 2023'!F49</f>
        <v>0.03</v>
      </c>
      <c r="H49" s="15">
        <f t="shared" si="14"/>
        <v>44949.972000000016</v>
      </c>
      <c r="I49" s="15">
        <f t="shared" si="14"/>
        <v>7.97</v>
      </c>
      <c r="J49" s="15">
        <f t="shared" si="14"/>
        <v>0</v>
      </c>
      <c r="K49" s="15">
        <f t="shared" si="14"/>
        <v>0.04</v>
      </c>
      <c r="L49" s="15">
        <f t="shared" si="14"/>
        <v>0</v>
      </c>
      <c r="M49" s="15">
        <f t="shared" si="14"/>
        <v>0</v>
      </c>
      <c r="N49" s="15">
        <f t="shared" si="14"/>
        <v>7.97</v>
      </c>
      <c r="O49" s="15">
        <f t="shared" si="14"/>
        <v>230.17000000000004</v>
      </c>
      <c r="P49" s="15">
        <f t="shared" si="14"/>
        <v>0</v>
      </c>
      <c r="Q49" s="15">
        <f>'[1]Feb 2023'!Q49+'march 2023'!P49</f>
        <v>76.23</v>
      </c>
      <c r="R49" s="15">
        <f t="shared" si="14"/>
        <v>0</v>
      </c>
      <c r="S49" s="15">
        <f>'[1]Feb 2023'!S49+'march 2023'!R49</f>
        <v>0.41000000000000003</v>
      </c>
      <c r="T49" s="15">
        <f t="shared" si="14"/>
        <v>230.17000000000004</v>
      </c>
      <c r="U49" s="15">
        <f t="shared" si="14"/>
        <v>45188.112000000008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'[1]Feb 2023'!H50</f>
        <v>95959.993000000017</v>
      </c>
      <c r="D50" s="15">
        <f t="shared" ref="D50:U50" si="15">D49+D44</f>
        <v>151.69999999999999</v>
      </c>
      <c r="E50" s="15">
        <f t="shared" si="15"/>
        <v>1453.92</v>
      </c>
      <c r="F50" s="15">
        <f t="shared" si="15"/>
        <v>0</v>
      </c>
      <c r="G50" s="15">
        <f>'[1]Feb 2023'!G50+'march 2023'!F50</f>
        <v>0.27</v>
      </c>
      <c r="H50" s="15">
        <f t="shared" si="15"/>
        <v>96111.693000000014</v>
      </c>
      <c r="I50" s="15">
        <f t="shared" si="15"/>
        <v>234.77</v>
      </c>
      <c r="J50" s="15">
        <f t="shared" si="15"/>
        <v>0</v>
      </c>
      <c r="K50" s="15">
        <f t="shared" si="15"/>
        <v>226.84</v>
      </c>
      <c r="L50" s="15">
        <f t="shared" si="15"/>
        <v>0</v>
      </c>
      <c r="M50" s="15">
        <f t="shared" si="15"/>
        <v>0</v>
      </c>
      <c r="N50" s="15">
        <f t="shared" si="15"/>
        <v>234.77</v>
      </c>
      <c r="O50" s="15">
        <f t="shared" si="15"/>
        <v>579.73000000000013</v>
      </c>
      <c r="P50" s="15">
        <f t="shared" si="15"/>
        <v>0</v>
      </c>
      <c r="Q50" s="15">
        <f>'[1]Feb 2023'!Q50+'march 2023'!P50</f>
        <v>425.79</v>
      </c>
      <c r="R50" s="15">
        <f t="shared" si="15"/>
        <v>0</v>
      </c>
      <c r="S50" s="15">
        <f>'[1]Feb 2023'!S50+'march 2023'!R50</f>
        <v>0.41000000000000003</v>
      </c>
      <c r="T50" s="15">
        <f t="shared" si="15"/>
        <v>579.73000000000013</v>
      </c>
      <c r="U50" s="15">
        <f t="shared" si="15"/>
        <v>96926.193000000014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'[1]Feb 2023'!H51</f>
        <v>172377.54200000002</v>
      </c>
      <c r="D51" s="15">
        <f t="shared" ref="D51:U51" si="16">D50+D39+D25</f>
        <v>364.74399999999997</v>
      </c>
      <c r="E51" s="15">
        <f t="shared" si="16"/>
        <v>2978.556</v>
      </c>
      <c r="F51" s="15">
        <f t="shared" si="16"/>
        <v>0</v>
      </c>
      <c r="G51" s="15">
        <f>'[1]Feb 2023'!G51+'march 2023'!F51</f>
        <v>2587.7400000000002</v>
      </c>
      <c r="H51" s="37">
        <f t="shared" si="16"/>
        <v>172742.28600000002</v>
      </c>
      <c r="I51" s="15">
        <f t="shared" si="16"/>
        <v>2804.6090000000004</v>
      </c>
      <c r="J51" s="15">
        <f t="shared" si="16"/>
        <v>11.530000000000001</v>
      </c>
      <c r="K51" s="15">
        <f t="shared" si="16"/>
        <v>812.15599999999995</v>
      </c>
      <c r="L51" s="15">
        <f t="shared" si="16"/>
        <v>0</v>
      </c>
      <c r="M51" s="15">
        <f t="shared" si="16"/>
        <v>43.1</v>
      </c>
      <c r="N51" s="37">
        <f t="shared" si="16"/>
        <v>2816.1390000000001</v>
      </c>
      <c r="O51" s="15">
        <f t="shared" si="16"/>
        <v>9303.5439999999981</v>
      </c>
      <c r="P51" s="15">
        <f t="shared" si="16"/>
        <v>14.43</v>
      </c>
      <c r="Q51" s="15">
        <f>'[1]Feb 2023'!Q51+'march 2023'!P51</f>
        <v>4520.5000000000009</v>
      </c>
      <c r="R51" s="15">
        <f t="shared" si="16"/>
        <v>0</v>
      </c>
      <c r="S51" s="15">
        <f>'[1]Feb 2023'!S51+'march 2023'!R51</f>
        <v>144.47</v>
      </c>
      <c r="T51" s="37">
        <f t="shared" si="16"/>
        <v>9317.9740000000002</v>
      </c>
      <c r="U51" s="15">
        <f t="shared" si="16"/>
        <v>184876.399</v>
      </c>
      <c r="V51" s="40"/>
      <c r="W51" s="40"/>
    </row>
    <row r="52" spans="1:23" s="21" customFormat="1" ht="42.75" hidden="1" customHeight="1">
      <c r="A52" s="18"/>
      <c r="B52" s="19"/>
      <c r="C52" s="9">
        <f>'[1]Feb 2023'!H52</f>
        <v>0</v>
      </c>
      <c r="D52" s="20"/>
      <c r="E52" s="9">
        <f>'[1]Feb 2023'!E52+'march 2023'!D52</f>
        <v>0</v>
      </c>
      <c r="F52" s="20"/>
      <c r="G52" s="9">
        <f>'[1]Feb 2023'!G52+'march 2023'!F52</f>
        <v>0</v>
      </c>
      <c r="H52" s="9">
        <f t="shared" si="0"/>
        <v>0</v>
      </c>
      <c r="I52" s="9">
        <f>'[1]Feb 2023'!N52</f>
        <v>0</v>
      </c>
      <c r="J52" s="20"/>
      <c r="K52" s="9">
        <f>'[1]Feb 2023'!K52+'march 2023'!J52</f>
        <v>0</v>
      </c>
      <c r="L52" s="20"/>
      <c r="M52" s="9">
        <f>'[1]Feb 2023'!M52+'march 2023'!L52</f>
        <v>0</v>
      </c>
      <c r="N52" s="20"/>
      <c r="O52" s="20"/>
      <c r="P52" s="20"/>
      <c r="Q52" s="9">
        <f>'[1]Feb 2023'!Q52+'march 2023'!P52</f>
        <v>0</v>
      </c>
      <c r="R52" s="20"/>
      <c r="S52" s="9">
        <f>'[1]Feb 2023'!S52+'march 2023'!R52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'[1]Feb 2023'!H53</f>
        <v>0</v>
      </c>
      <c r="D53" s="20"/>
      <c r="E53" s="9">
        <f>'[1]Feb 2023'!E53+'march 2023'!D53</f>
        <v>0</v>
      </c>
      <c r="F53" s="20"/>
      <c r="G53" s="9">
        <f>'[1]Feb 2023'!G53+'march 2023'!F53</f>
        <v>0</v>
      </c>
      <c r="H53" s="9">
        <f t="shared" si="0"/>
        <v>0</v>
      </c>
      <c r="I53" s="9">
        <f>'[1]Feb 2023'!N53</f>
        <v>0</v>
      </c>
      <c r="J53" s="20"/>
      <c r="K53" s="9">
        <f>'[1]Feb 2023'!K53+'march 2023'!J53</f>
        <v>0</v>
      </c>
      <c r="L53" s="20"/>
      <c r="M53" s="9">
        <f>'[1]Feb 2023'!M53+'march 2023'!L53</f>
        <v>0</v>
      </c>
      <c r="N53" s="20"/>
      <c r="O53" s="20"/>
      <c r="P53" s="22"/>
      <c r="Q53" s="9">
        <f>'[1]Feb 2023'!Q53+'march 2023'!P53</f>
        <v>0</v>
      </c>
      <c r="R53" s="20"/>
      <c r="S53" s="9">
        <f>'[1]Feb 2023'!S53+'march 2023'!R53</f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24"/>
      <c r="L54" s="20"/>
      <c r="M54" s="22"/>
      <c r="N54" s="20" t="s">
        <v>65</v>
      </c>
      <c r="O54" s="20"/>
      <c r="P54" s="22"/>
      <c r="Q54" s="24"/>
      <c r="R54" s="20"/>
      <c r="S54" s="22"/>
      <c r="T54" s="23"/>
      <c r="U54" s="20"/>
      <c r="V54" s="20"/>
      <c r="W54" s="20"/>
    </row>
    <row r="55" spans="1:23" s="21" customFormat="1">
      <c r="A55" s="18"/>
      <c r="B55" s="19"/>
      <c r="C55" s="20"/>
      <c r="D55" s="20"/>
      <c r="E55" s="24"/>
      <c r="F55" s="20"/>
      <c r="G55" s="20"/>
      <c r="H55" s="20"/>
      <c r="I55" s="22"/>
      <c r="J55" s="20"/>
      <c r="K55" s="24"/>
      <c r="L55" s="20"/>
      <c r="M55" s="22"/>
      <c r="N55" s="20"/>
      <c r="O55" s="20"/>
      <c r="P55" s="22"/>
      <c r="Q55" s="24"/>
      <c r="R55" s="20"/>
      <c r="S55" s="22"/>
      <c r="T55" s="23"/>
      <c r="U55" s="20"/>
      <c r="V55" s="20"/>
      <c r="W55" s="20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390.70400000000001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5535.902000000001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184876.399</v>
      </c>
      <c r="I58" s="30"/>
      <c r="J58" s="30"/>
      <c r="K58" s="30"/>
      <c r="L58" s="31"/>
      <c r="M58" s="31"/>
      <c r="N58" s="32" t="e">
        <f>#REF!+'march 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#REF!+'march 2023'!H56</f>
        <v>#REF!</v>
      </c>
      <c r="K59" s="30"/>
      <c r="L59" s="35" t="e">
        <f>#REF!+'march 2023'!H56</f>
        <v>#REF!</v>
      </c>
      <c r="M59" s="30"/>
      <c r="O59" s="11"/>
    </row>
    <row r="60" spans="1:23">
      <c r="H60" s="30"/>
      <c r="J60" s="30"/>
    </row>
    <row r="62" spans="1:23">
      <c r="B62" s="2"/>
      <c r="G62" s="36"/>
      <c r="O62" s="2"/>
      <c r="U62" s="2"/>
      <c r="V62" s="2"/>
      <c r="W62" s="2"/>
    </row>
  </sheetData>
  <mergeCells count="25">
    <mergeCell ref="D57:G57"/>
    <mergeCell ref="D58:G58"/>
    <mergeCell ref="V26:V27"/>
    <mergeCell ref="V45:V48"/>
    <mergeCell ref="I5:I6"/>
    <mergeCell ref="J5:K5"/>
    <mergeCell ref="L5:M5"/>
    <mergeCell ref="N5:N6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O5:O6"/>
    <mergeCell ref="P5:Q5"/>
    <mergeCell ref="R5:S5"/>
    <mergeCell ref="T5:T6"/>
    <mergeCell ref="U5:U6"/>
    <mergeCell ref="H5:H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0"/>
  <sheetViews>
    <sheetView topLeftCell="A46" zoomScale="50" zoomScaleNormal="50" zoomScaleSheetLayoutView="25" workbookViewId="0">
      <pane xSplit="19995" topLeftCell="C1"/>
      <selection activeCell="A55" sqref="A55:XFD55"/>
      <selection pane="topRight" activeCell="L1" sqref="L1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'Nov 2023'!H7</f>
        <v>83.970000000000653</v>
      </c>
      <c r="D7" s="9">
        <v>0</v>
      </c>
      <c r="E7" s="9">
        <f>'Nov 2023'!E7+'dec 2023'!D7</f>
        <v>0</v>
      </c>
      <c r="F7" s="9">
        <v>0</v>
      </c>
      <c r="G7" s="9">
        <f>'Nov 2023'!G7+'dec 2023'!F7</f>
        <v>0</v>
      </c>
      <c r="H7" s="9">
        <f>C7+D7-F7</f>
        <v>83.970000000000653</v>
      </c>
      <c r="I7" s="9">
        <f>'Nov 2023'!N7</f>
        <v>210.19099999999997</v>
      </c>
      <c r="J7" s="9">
        <v>0.27</v>
      </c>
      <c r="K7" s="9">
        <f>'Nov 2023'!K7+'dec 2023'!J7</f>
        <v>35.590000000000011</v>
      </c>
      <c r="L7" s="9">
        <v>0</v>
      </c>
      <c r="M7" s="9">
        <f>'Nov 2023'!M7+'dec 2023'!L7</f>
        <v>0</v>
      </c>
      <c r="N7" s="9">
        <f>I7+J7-L7</f>
        <v>210.46099999999998</v>
      </c>
      <c r="O7" s="10">
        <f>'Nov 2023'!T7</f>
        <v>264.90000000000009</v>
      </c>
      <c r="P7" s="9">
        <v>0</v>
      </c>
      <c r="Q7" s="9">
        <f>'Nov 2023'!Q7+'dec 2023'!P7</f>
        <v>0</v>
      </c>
      <c r="R7" s="9">
        <v>0</v>
      </c>
      <c r="S7" s="9">
        <f>'Nov 2023'!S7+'dec 2023'!R7</f>
        <v>19.239999999999998</v>
      </c>
      <c r="T7" s="10">
        <f>O7+P7-R7</f>
        <v>264.90000000000009</v>
      </c>
      <c r="U7" s="10">
        <f>H7+N7+T7</f>
        <v>559.3310000000007</v>
      </c>
      <c r="V7" s="11"/>
      <c r="W7" s="11"/>
    </row>
    <row r="8" spans="1:183" ht="42.75" customHeight="1">
      <c r="A8" s="7">
        <v>2</v>
      </c>
      <c r="B8" s="8" t="s">
        <v>15</v>
      </c>
      <c r="C8" s="9">
        <f>'Nov 2023'!H8</f>
        <v>499.29499999999979</v>
      </c>
      <c r="D8" s="9">
        <v>0.09</v>
      </c>
      <c r="E8" s="9">
        <f>'Nov 2023'!E8+'dec 2023'!D8</f>
        <v>1.7700000000000002</v>
      </c>
      <c r="F8" s="9">
        <v>0</v>
      </c>
      <c r="G8" s="9">
        <f>'Nov 2023'!G8+'dec 2023'!F8</f>
        <v>0</v>
      </c>
      <c r="H8" s="9">
        <f t="shared" ref="H8:H53" si="0">C8+D8-F8</f>
        <v>499.38499999999976</v>
      </c>
      <c r="I8" s="9">
        <f>'Nov 2023'!N8</f>
        <v>157.99600000000001</v>
      </c>
      <c r="J8" s="9">
        <v>2.6349999999999998</v>
      </c>
      <c r="K8" s="9">
        <f>'Nov 2023'!K8+'dec 2023'!J8</f>
        <v>17.725000000000001</v>
      </c>
      <c r="L8" s="9">
        <v>0</v>
      </c>
      <c r="M8" s="9">
        <f>'Nov 2023'!M8+'dec 2023'!L8</f>
        <v>0</v>
      </c>
      <c r="N8" s="9">
        <f t="shared" ref="N8:N48" si="1">I8+J8-L8</f>
        <v>160.631</v>
      </c>
      <c r="O8" s="10">
        <f>'Nov 2023'!T8</f>
        <v>222.27000000000004</v>
      </c>
      <c r="P8" s="9">
        <v>0</v>
      </c>
      <c r="Q8" s="9">
        <f>'Nov 2023'!Q8+'dec 2023'!P8</f>
        <v>0</v>
      </c>
      <c r="R8" s="9">
        <v>0</v>
      </c>
      <c r="S8" s="9">
        <f>'Nov 2023'!S8+'dec 2023'!R8</f>
        <v>0</v>
      </c>
      <c r="T8" s="10">
        <f t="shared" ref="T8:T48" si="2">O8+P8-R8</f>
        <v>222.27000000000004</v>
      </c>
      <c r="U8" s="10">
        <f t="shared" ref="U8:U48" si="3">H8+N8+T8</f>
        <v>882.28599999999983</v>
      </c>
      <c r="V8" s="11"/>
      <c r="W8" s="11"/>
    </row>
    <row r="9" spans="1:183" ht="42.75" customHeight="1">
      <c r="A9" s="7">
        <v>3</v>
      </c>
      <c r="B9" s="8" t="s">
        <v>16</v>
      </c>
      <c r="C9" s="9">
        <f>'Nov 2023'!H9</f>
        <v>653.9599999999997</v>
      </c>
      <c r="D9" s="9">
        <v>0</v>
      </c>
      <c r="E9" s="9">
        <f>'Nov 2023'!E9+'dec 2023'!D9</f>
        <v>0</v>
      </c>
      <c r="F9" s="9">
        <v>0</v>
      </c>
      <c r="G9" s="9">
        <f>'Nov 2023'!G9+'dec 2023'!F9</f>
        <v>0</v>
      </c>
      <c r="H9" s="9">
        <f t="shared" si="0"/>
        <v>653.9599999999997</v>
      </c>
      <c r="I9" s="9">
        <f>'Nov 2023'!N9</f>
        <v>235.92600000000002</v>
      </c>
      <c r="J9" s="9">
        <v>1.31</v>
      </c>
      <c r="K9" s="9">
        <f>'Nov 2023'!K9+'dec 2023'!J9</f>
        <v>21.729999999999997</v>
      </c>
      <c r="L9" s="9">
        <v>0</v>
      </c>
      <c r="M9" s="9">
        <f>'Nov 2023'!M9+'dec 2023'!L9</f>
        <v>0</v>
      </c>
      <c r="N9" s="9">
        <f t="shared" si="1"/>
        <v>237.23600000000002</v>
      </c>
      <c r="O9" s="10">
        <f>'Nov 2023'!T9</f>
        <v>736.16999999999973</v>
      </c>
      <c r="P9" s="9">
        <v>37.799999999999997</v>
      </c>
      <c r="Q9" s="9">
        <f>'Nov 2023'!Q9+'dec 2023'!P9</f>
        <v>507.38</v>
      </c>
      <c r="R9" s="9">
        <v>0</v>
      </c>
      <c r="S9" s="9">
        <f>'Nov 2023'!S9+'dec 2023'!R9</f>
        <v>0</v>
      </c>
      <c r="T9" s="10">
        <f>O9+P9-R9</f>
        <v>773.96999999999969</v>
      </c>
      <c r="U9" s="10">
        <f t="shared" si="3"/>
        <v>1665.1659999999993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'Nov 2023'!H10</f>
        <v>0</v>
      </c>
      <c r="D10" s="9">
        <v>0</v>
      </c>
      <c r="E10" s="9">
        <f>'Nov 2023'!E10+'dec 2023'!D10</f>
        <v>0</v>
      </c>
      <c r="F10" s="9">
        <v>0</v>
      </c>
      <c r="G10" s="9">
        <f>'Nov 2023'!G10+'dec 2023'!F10</f>
        <v>0</v>
      </c>
      <c r="H10" s="9">
        <f t="shared" si="0"/>
        <v>0</v>
      </c>
      <c r="I10" s="9">
        <f>'Nov 2023'!N10</f>
        <v>147.97200000000007</v>
      </c>
      <c r="J10" s="9">
        <v>0.13</v>
      </c>
      <c r="K10" s="9">
        <f>'Nov 2023'!K10+'dec 2023'!J10</f>
        <v>0.877</v>
      </c>
      <c r="L10" s="9">
        <v>0</v>
      </c>
      <c r="M10" s="9">
        <f>'Nov 2023'!M10+'dec 2023'!L10</f>
        <v>0</v>
      </c>
      <c r="N10" s="9">
        <f t="shared" si="1"/>
        <v>148.10200000000006</v>
      </c>
      <c r="O10" s="10">
        <f>'Nov 2023'!T10</f>
        <v>234.27999999999997</v>
      </c>
      <c r="P10" s="9">
        <v>0</v>
      </c>
      <c r="Q10" s="9">
        <f>'Nov 2023'!Q10+'dec 2023'!P10</f>
        <v>0</v>
      </c>
      <c r="R10" s="9">
        <v>0</v>
      </c>
      <c r="S10" s="9">
        <f>'Nov 2023'!S10+'dec 2023'!R10</f>
        <v>0</v>
      </c>
      <c r="T10" s="10">
        <f t="shared" si="2"/>
        <v>234.27999999999997</v>
      </c>
      <c r="U10" s="10">
        <f t="shared" si="3"/>
        <v>382.38200000000006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'Nov 2023'!H11</f>
        <v>1237.2250000000001</v>
      </c>
      <c r="D11" s="15">
        <f t="shared" ref="D11:U11" si="4">SUM(D7:D10)</f>
        <v>0.09</v>
      </c>
      <c r="E11" s="15">
        <f t="shared" si="4"/>
        <v>1.7700000000000002</v>
      </c>
      <c r="F11" s="15">
        <f t="shared" si="4"/>
        <v>0</v>
      </c>
      <c r="G11" s="15">
        <f t="shared" si="4"/>
        <v>0</v>
      </c>
      <c r="H11" s="15">
        <f t="shared" si="4"/>
        <v>1237.3150000000001</v>
      </c>
      <c r="I11" s="15">
        <f>'Nov 2023'!N11</f>
        <v>752.08500000000015</v>
      </c>
      <c r="J11" s="15">
        <f t="shared" si="4"/>
        <v>4.3449999999999998</v>
      </c>
      <c r="K11" s="15">
        <f t="shared" si="4"/>
        <v>75.922000000000011</v>
      </c>
      <c r="L11" s="15">
        <f t="shared" si="4"/>
        <v>0</v>
      </c>
      <c r="M11" s="15">
        <f t="shared" si="4"/>
        <v>0</v>
      </c>
      <c r="N11" s="15">
        <f t="shared" si="4"/>
        <v>756.43000000000006</v>
      </c>
      <c r="O11" s="41">
        <f>'Nov 2023'!T11</f>
        <v>1457.62</v>
      </c>
      <c r="P11" s="15">
        <f t="shared" si="4"/>
        <v>37.799999999999997</v>
      </c>
      <c r="Q11" s="15">
        <f t="shared" si="4"/>
        <v>507.38</v>
      </c>
      <c r="R11" s="15">
        <f t="shared" si="4"/>
        <v>0</v>
      </c>
      <c r="S11" s="15">
        <f t="shared" si="4"/>
        <v>19.239999999999998</v>
      </c>
      <c r="T11" s="15">
        <f t="shared" si="4"/>
        <v>1495.4199999999998</v>
      </c>
      <c r="U11" s="15">
        <f t="shared" si="4"/>
        <v>3489.165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'Nov 2023'!H12</f>
        <v>211.68999999999886</v>
      </c>
      <c r="D12" s="9">
        <v>0</v>
      </c>
      <c r="E12" s="9">
        <f>'Nov 2023'!E12+'dec 2023'!D12</f>
        <v>0</v>
      </c>
      <c r="F12" s="9">
        <v>0</v>
      </c>
      <c r="G12" s="9">
        <f>'Nov 2023'!G12+'dec 2023'!F12</f>
        <v>7.2</v>
      </c>
      <c r="H12" s="9">
        <f t="shared" si="0"/>
        <v>211.68999999999886</v>
      </c>
      <c r="I12" s="9">
        <f>'Nov 2023'!N12</f>
        <v>94.172999999999988</v>
      </c>
      <c r="J12" s="9">
        <v>0.28000000000000003</v>
      </c>
      <c r="K12" s="9">
        <f>'Nov 2023'!K12+'dec 2023'!J12</f>
        <v>4.57</v>
      </c>
      <c r="L12" s="9">
        <v>0</v>
      </c>
      <c r="M12" s="9">
        <f>'Nov 2023'!M12+'dec 2023'!L12</f>
        <v>0</v>
      </c>
      <c r="N12" s="9">
        <f t="shared" si="1"/>
        <v>94.452999999999989</v>
      </c>
      <c r="O12" s="10">
        <f>'Nov 2023'!T12</f>
        <v>1570.1399999999999</v>
      </c>
      <c r="P12" s="9">
        <v>0</v>
      </c>
      <c r="Q12" s="9">
        <f>'Nov 2023'!Q12+'dec 2023'!P12</f>
        <v>22.12</v>
      </c>
      <c r="R12" s="9">
        <v>0</v>
      </c>
      <c r="S12" s="9">
        <f>'Nov 2023'!S12+'dec 2023'!R12</f>
        <v>0</v>
      </c>
      <c r="T12" s="10">
        <f t="shared" si="2"/>
        <v>1570.1399999999999</v>
      </c>
      <c r="U12" s="10">
        <f t="shared" si="3"/>
        <v>1876.2829999999988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'Nov 2023'!H13</f>
        <v>1023.7699999999998</v>
      </c>
      <c r="D13" s="9">
        <v>0</v>
      </c>
      <c r="E13" s="9">
        <f>'Nov 2023'!E13+'dec 2023'!D13</f>
        <v>0</v>
      </c>
      <c r="F13" s="9">
        <v>0</v>
      </c>
      <c r="G13" s="9">
        <f>'Nov 2023'!G13+'dec 2023'!F13</f>
        <v>0</v>
      </c>
      <c r="H13" s="9">
        <f t="shared" si="0"/>
        <v>1023.7699999999998</v>
      </c>
      <c r="I13" s="9">
        <f>'Nov 2023'!N13</f>
        <v>163.53400000000008</v>
      </c>
      <c r="J13" s="9">
        <v>0.91</v>
      </c>
      <c r="K13" s="9">
        <f>'Nov 2023'!K13+'dec 2023'!J13</f>
        <v>7.4999999999999991</v>
      </c>
      <c r="L13" s="9">
        <v>0</v>
      </c>
      <c r="M13" s="9">
        <f>'Nov 2023'!M13+'dec 2023'!L13</f>
        <v>0.72</v>
      </c>
      <c r="N13" s="9">
        <f t="shared" si="1"/>
        <v>164.44400000000007</v>
      </c>
      <c r="O13" s="10">
        <f>'Nov 2023'!T13</f>
        <v>87.23</v>
      </c>
      <c r="P13" s="9">
        <v>0</v>
      </c>
      <c r="Q13" s="9">
        <f>'Nov 2023'!Q13+'dec 2023'!P13</f>
        <v>0.03</v>
      </c>
      <c r="R13" s="9">
        <v>0</v>
      </c>
      <c r="S13" s="9">
        <f>'Nov 2023'!S13+'dec 2023'!R13</f>
        <v>0</v>
      </c>
      <c r="T13" s="10">
        <f t="shared" si="2"/>
        <v>87.23</v>
      </c>
      <c r="U13" s="10">
        <f t="shared" si="3"/>
        <v>1275.444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'Nov 2023'!H14</f>
        <v>2075.7999999999993</v>
      </c>
      <c r="D14" s="9">
        <v>0</v>
      </c>
      <c r="E14" s="9">
        <f>'Nov 2023'!E14+'dec 2023'!D14</f>
        <v>0</v>
      </c>
      <c r="F14" s="9">
        <v>0</v>
      </c>
      <c r="G14" s="9">
        <f>'Nov 2023'!G14+'dec 2023'!F14</f>
        <v>8.7799999999999994</v>
      </c>
      <c r="H14" s="9">
        <f t="shared" si="0"/>
        <v>2075.7999999999993</v>
      </c>
      <c r="I14" s="9">
        <f>'Nov 2023'!N14</f>
        <v>209.684</v>
      </c>
      <c r="J14" s="9">
        <v>2.86</v>
      </c>
      <c r="K14" s="9">
        <f>'Nov 2023'!K14+'dec 2023'!J14</f>
        <v>11.69</v>
      </c>
      <c r="L14" s="9">
        <v>0</v>
      </c>
      <c r="M14" s="9">
        <f>'Nov 2023'!M14+'dec 2023'!L14</f>
        <v>8.2799999999999994</v>
      </c>
      <c r="N14" s="9">
        <f t="shared" si="1"/>
        <v>212.54400000000001</v>
      </c>
      <c r="O14" s="10">
        <f>'Nov 2023'!T14</f>
        <v>412.96999999999991</v>
      </c>
      <c r="P14" s="9">
        <v>0</v>
      </c>
      <c r="Q14" s="9">
        <f>'Nov 2023'!Q14+'dec 2023'!P14</f>
        <v>9.39</v>
      </c>
      <c r="R14" s="9">
        <v>0</v>
      </c>
      <c r="S14" s="9">
        <f>'Nov 2023'!S14+'dec 2023'!R14</f>
        <v>0</v>
      </c>
      <c r="T14" s="10">
        <f t="shared" si="2"/>
        <v>412.96999999999991</v>
      </c>
      <c r="U14" s="10">
        <f t="shared" si="3"/>
        <v>2701.3139999999989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'Nov 2023'!H15</f>
        <v>3311.2599999999979</v>
      </c>
      <c r="D15" s="15">
        <f t="shared" ref="D15:U15" si="5">SUM(D12:D14)</f>
        <v>0</v>
      </c>
      <c r="E15" s="15">
        <f t="shared" si="5"/>
        <v>0</v>
      </c>
      <c r="F15" s="15">
        <f t="shared" si="5"/>
        <v>0</v>
      </c>
      <c r="G15" s="15">
        <f t="shared" si="5"/>
        <v>15.98</v>
      </c>
      <c r="H15" s="15">
        <f t="shared" si="5"/>
        <v>3311.2599999999979</v>
      </c>
      <c r="I15" s="15">
        <f>'Nov 2023'!N15</f>
        <v>467.39100000000008</v>
      </c>
      <c r="J15" s="15">
        <f t="shared" si="5"/>
        <v>4.05</v>
      </c>
      <c r="K15" s="15">
        <f t="shared" si="5"/>
        <v>23.759999999999998</v>
      </c>
      <c r="L15" s="15">
        <f t="shared" si="5"/>
        <v>0</v>
      </c>
      <c r="M15" s="15">
        <f t="shared" si="5"/>
        <v>9</v>
      </c>
      <c r="N15" s="15">
        <f t="shared" si="5"/>
        <v>471.44100000000003</v>
      </c>
      <c r="O15" s="41">
        <f>'Nov 2023'!T15</f>
        <v>2070.3399999999997</v>
      </c>
      <c r="P15" s="15">
        <f t="shared" si="5"/>
        <v>0</v>
      </c>
      <c r="Q15" s="15">
        <f t="shared" si="5"/>
        <v>31.540000000000003</v>
      </c>
      <c r="R15" s="15">
        <f t="shared" si="5"/>
        <v>0</v>
      </c>
      <c r="S15" s="15">
        <f t="shared" si="5"/>
        <v>0</v>
      </c>
      <c r="T15" s="15">
        <f t="shared" si="5"/>
        <v>2070.3399999999997</v>
      </c>
      <c r="U15" s="15">
        <f t="shared" si="5"/>
        <v>5853.0409999999974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'Nov 2023'!H16</f>
        <v>1322.4719999999993</v>
      </c>
      <c r="D16" s="9">
        <v>0.77</v>
      </c>
      <c r="E16" s="9">
        <f>'Nov 2023'!E16+'dec 2023'!D16</f>
        <v>15.91</v>
      </c>
      <c r="F16" s="9">
        <v>0</v>
      </c>
      <c r="G16" s="9">
        <f>'Nov 2023'!G16+'dec 2023'!F16</f>
        <v>0</v>
      </c>
      <c r="H16" s="9">
        <f t="shared" si="0"/>
        <v>1323.2419999999993</v>
      </c>
      <c r="I16" s="9">
        <f>'Nov 2023'!N16</f>
        <v>119.09000000000005</v>
      </c>
      <c r="J16" s="9">
        <v>1.17</v>
      </c>
      <c r="K16" s="9">
        <f>'Nov 2023'!K16+'dec 2023'!J16</f>
        <v>6.29</v>
      </c>
      <c r="L16" s="9">
        <v>0</v>
      </c>
      <c r="M16" s="9">
        <f>'Nov 2023'!M16+'dec 2023'!L16</f>
        <v>0</v>
      </c>
      <c r="N16" s="9">
        <f t="shared" si="1"/>
        <v>120.26000000000005</v>
      </c>
      <c r="O16" s="10">
        <f>'Nov 2023'!T16</f>
        <v>973.04900000000009</v>
      </c>
      <c r="P16" s="9">
        <v>1.32</v>
      </c>
      <c r="Q16" s="9">
        <f>'Nov 2023'!Q16+'dec 2023'!P16</f>
        <v>99.11999999999999</v>
      </c>
      <c r="R16" s="9">
        <v>0</v>
      </c>
      <c r="S16" s="9">
        <f>'Nov 2023'!S16+'dec 2023'!R16</f>
        <v>0</v>
      </c>
      <c r="T16" s="9">
        <f t="shared" si="2"/>
        <v>974.36900000000014</v>
      </c>
      <c r="U16" s="10">
        <f t="shared" si="3"/>
        <v>2417.8709999999992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'Nov 2023'!H17</f>
        <v>236.65399999999988</v>
      </c>
      <c r="D17" s="9">
        <v>0</v>
      </c>
      <c r="E17" s="9">
        <f>'Nov 2023'!E17+'dec 2023'!D17</f>
        <v>0</v>
      </c>
      <c r="F17" s="9">
        <v>0</v>
      </c>
      <c r="G17" s="9">
        <f>'Nov 2023'!G17+'dec 2023'!F17</f>
        <v>2.7</v>
      </c>
      <c r="H17" s="9">
        <f t="shared" si="0"/>
        <v>236.65399999999988</v>
      </c>
      <c r="I17" s="9">
        <f>'Nov 2023'!N17</f>
        <v>31.436999999999994</v>
      </c>
      <c r="J17" s="9">
        <v>0.05</v>
      </c>
      <c r="K17" s="9">
        <f>'Nov 2023'!K17+'dec 2023'!J17</f>
        <v>1.79</v>
      </c>
      <c r="L17" s="9">
        <v>0</v>
      </c>
      <c r="M17" s="9">
        <f>'Nov 2023'!M17+'dec 2023'!L17</f>
        <v>0</v>
      </c>
      <c r="N17" s="9">
        <f t="shared" si="1"/>
        <v>31.486999999999995</v>
      </c>
      <c r="O17" s="10">
        <f>'Nov 2023'!T17</f>
        <v>501.90100000000001</v>
      </c>
      <c r="P17" s="9">
        <v>0</v>
      </c>
      <c r="Q17" s="9">
        <f>'Nov 2023'!Q17+'dec 2023'!P17</f>
        <v>87.36</v>
      </c>
      <c r="R17" s="9">
        <v>0</v>
      </c>
      <c r="S17" s="9">
        <f>'Nov 2023'!S17+'dec 2023'!R17</f>
        <v>0</v>
      </c>
      <c r="T17" s="9">
        <f t="shared" si="2"/>
        <v>501.90100000000001</v>
      </c>
      <c r="U17" s="10">
        <f t="shared" si="3"/>
        <v>770.04199999999992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'Nov 2023'!H18</f>
        <v>478.13499999999931</v>
      </c>
      <c r="D18" s="9">
        <v>0</v>
      </c>
      <c r="E18" s="9">
        <f>'Nov 2023'!E18+'dec 2023'!D18</f>
        <v>0</v>
      </c>
      <c r="F18" s="9">
        <v>0</v>
      </c>
      <c r="G18" s="9">
        <f>'Nov 2023'!G18+'dec 2023'!F18</f>
        <v>0</v>
      </c>
      <c r="H18" s="9">
        <f t="shared" si="0"/>
        <v>478.13499999999931</v>
      </c>
      <c r="I18" s="9">
        <f>'Nov 2023'!N18</f>
        <v>17.13999999999999</v>
      </c>
      <c r="J18" s="9">
        <v>0</v>
      </c>
      <c r="K18" s="9">
        <f>'Nov 2023'!K18+'dec 2023'!J18</f>
        <v>3.46</v>
      </c>
      <c r="L18" s="9">
        <v>0</v>
      </c>
      <c r="M18" s="9">
        <f>'Nov 2023'!M18+'dec 2023'!L18</f>
        <v>1.46</v>
      </c>
      <c r="N18" s="9">
        <f t="shared" si="1"/>
        <v>17.13999999999999</v>
      </c>
      <c r="O18" s="10">
        <f>'Nov 2023'!T18</f>
        <v>481.20799999999997</v>
      </c>
      <c r="P18" s="9">
        <v>0</v>
      </c>
      <c r="Q18" s="9">
        <f>'Nov 2023'!Q18+'dec 2023'!P18</f>
        <v>1.07</v>
      </c>
      <c r="R18" s="9">
        <v>0</v>
      </c>
      <c r="S18" s="9">
        <f>'Nov 2023'!S18+'dec 2023'!R18</f>
        <v>0.7</v>
      </c>
      <c r="T18" s="9">
        <f t="shared" si="2"/>
        <v>481.20799999999997</v>
      </c>
      <c r="U18" s="10">
        <f t="shared" si="3"/>
        <v>976.48299999999927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'Nov 2023'!H19</f>
        <v>2037.2609999999986</v>
      </c>
      <c r="D19" s="15">
        <f t="shared" ref="D19:U19" si="6">SUM(D16:D18)</f>
        <v>0.77</v>
      </c>
      <c r="E19" s="15">
        <f t="shared" si="6"/>
        <v>15.91</v>
      </c>
      <c r="F19" s="15">
        <f t="shared" si="6"/>
        <v>0</v>
      </c>
      <c r="G19" s="15">
        <f t="shared" si="6"/>
        <v>2.7</v>
      </c>
      <c r="H19" s="15">
        <f t="shared" si="6"/>
        <v>2038.0309999999986</v>
      </c>
      <c r="I19" s="15">
        <f>'Nov 2023'!N19</f>
        <v>167.66700000000003</v>
      </c>
      <c r="J19" s="15">
        <f t="shared" si="6"/>
        <v>1.22</v>
      </c>
      <c r="K19" s="15">
        <f t="shared" si="6"/>
        <v>11.54</v>
      </c>
      <c r="L19" s="15">
        <f t="shared" si="6"/>
        <v>0</v>
      </c>
      <c r="M19" s="15">
        <f t="shared" si="6"/>
        <v>1.46</v>
      </c>
      <c r="N19" s="15">
        <f t="shared" si="6"/>
        <v>168.88700000000003</v>
      </c>
      <c r="O19" s="41">
        <f>'Nov 2023'!T19</f>
        <v>1956.1579999999999</v>
      </c>
      <c r="P19" s="15">
        <f t="shared" si="6"/>
        <v>1.32</v>
      </c>
      <c r="Q19" s="15">
        <f t="shared" si="6"/>
        <v>187.54999999999998</v>
      </c>
      <c r="R19" s="15">
        <f t="shared" si="6"/>
        <v>0</v>
      </c>
      <c r="S19" s="15">
        <f t="shared" si="6"/>
        <v>0.7</v>
      </c>
      <c r="T19" s="15">
        <f t="shared" si="6"/>
        <v>1957.4780000000001</v>
      </c>
      <c r="U19" s="15">
        <f t="shared" si="6"/>
        <v>4164.3959999999988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'Nov 2023'!H20</f>
        <v>1024.4549999999992</v>
      </c>
      <c r="D20" s="9">
        <v>0</v>
      </c>
      <c r="E20" s="9">
        <f>'Nov 2023'!E20+'dec 2023'!D20</f>
        <v>0</v>
      </c>
      <c r="F20" s="9">
        <v>0</v>
      </c>
      <c r="G20" s="9">
        <f>'Nov 2023'!G20+'dec 2023'!F20</f>
        <v>0</v>
      </c>
      <c r="H20" s="9">
        <f t="shared" si="0"/>
        <v>1024.4549999999992</v>
      </c>
      <c r="I20" s="9">
        <f>'Nov 2023'!N20</f>
        <v>157.39100000000013</v>
      </c>
      <c r="J20" s="9">
        <v>0.16</v>
      </c>
      <c r="K20" s="9">
        <f>'Nov 2023'!K20+'dec 2023'!J20</f>
        <v>2.31</v>
      </c>
      <c r="L20" s="9">
        <v>0</v>
      </c>
      <c r="M20" s="9">
        <f>'Nov 2023'!M20+'dec 2023'!L20</f>
        <v>0</v>
      </c>
      <c r="N20" s="9">
        <f t="shared" si="1"/>
        <v>157.55100000000013</v>
      </c>
      <c r="O20" s="10">
        <f>'Nov 2023'!T20</f>
        <v>744.85099999999989</v>
      </c>
      <c r="P20" s="9">
        <v>0.04</v>
      </c>
      <c r="Q20" s="9">
        <f>'Nov 2023'!Q20+'dec 2023'!P20</f>
        <v>2.17</v>
      </c>
      <c r="R20" s="9">
        <v>0</v>
      </c>
      <c r="S20" s="9">
        <f>'Nov 2023'!S20+'dec 2023'!R20</f>
        <v>0</v>
      </c>
      <c r="T20" s="10">
        <f t="shared" si="2"/>
        <v>744.89099999999985</v>
      </c>
      <c r="U20" s="10">
        <f t="shared" si="3"/>
        <v>1926.8969999999993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'Nov 2023'!H21</f>
        <v>52.019999999999882</v>
      </c>
      <c r="D21" s="9">
        <v>0</v>
      </c>
      <c r="E21" s="9">
        <f>'Nov 2023'!E21+'dec 2023'!D21</f>
        <v>0</v>
      </c>
      <c r="F21" s="9">
        <v>0</v>
      </c>
      <c r="G21" s="9">
        <f>'Nov 2023'!G21+'dec 2023'!F21</f>
        <v>90.67</v>
      </c>
      <c r="H21" s="9">
        <f t="shared" si="0"/>
        <v>52.019999999999882</v>
      </c>
      <c r="I21" s="9">
        <f>'Nov 2023'!N21</f>
        <v>56.453000000000017</v>
      </c>
      <c r="J21" s="9">
        <v>0</v>
      </c>
      <c r="K21" s="9">
        <f>'Nov 2023'!K21+'dec 2023'!J21</f>
        <v>3.6700000000000004</v>
      </c>
      <c r="L21" s="9">
        <v>0</v>
      </c>
      <c r="M21" s="9">
        <f>'Nov 2023'!M21+'dec 2023'!L21</f>
        <v>0</v>
      </c>
      <c r="N21" s="9">
        <f t="shared" si="1"/>
        <v>56.453000000000017</v>
      </c>
      <c r="O21" s="10">
        <f>'Nov 2023'!T21</f>
        <v>315.22999999999996</v>
      </c>
      <c r="P21" s="9">
        <v>0</v>
      </c>
      <c r="Q21" s="9">
        <f>'Nov 2023'!Q21+'dec 2023'!P21</f>
        <v>6.81</v>
      </c>
      <c r="R21" s="9">
        <v>0</v>
      </c>
      <c r="S21" s="9">
        <f>'Nov 2023'!S21+'dec 2023'!R21</f>
        <v>2.48</v>
      </c>
      <c r="T21" s="10">
        <f t="shared" si="2"/>
        <v>315.22999999999996</v>
      </c>
      <c r="U21" s="10">
        <f t="shared" si="3"/>
        <v>423.70299999999986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'Nov 2023'!H22</f>
        <v>27.069999999999879</v>
      </c>
      <c r="D22" s="9">
        <v>0</v>
      </c>
      <c r="E22" s="9">
        <f>'Nov 2023'!E22+'dec 2023'!D22</f>
        <v>0</v>
      </c>
      <c r="F22" s="9">
        <v>0</v>
      </c>
      <c r="G22" s="9">
        <f>'Nov 2023'!G22+'dec 2023'!F22</f>
        <v>0</v>
      </c>
      <c r="H22" s="9">
        <f t="shared" si="0"/>
        <v>27.069999999999879</v>
      </c>
      <c r="I22" s="9">
        <f>'Nov 2023'!N22</f>
        <v>16.260000000000005</v>
      </c>
      <c r="J22" s="9">
        <v>0</v>
      </c>
      <c r="K22" s="9">
        <f>'Nov 2023'!K22+'dec 2023'!J22</f>
        <v>0.32</v>
      </c>
      <c r="L22" s="9">
        <v>0</v>
      </c>
      <c r="M22" s="9">
        <f>'Nov 2023'!M22+'dec 2023'!L22</f>
        <v>0</v>
      </c>
      <c r="N22" s="9">
        <f t="shared" si="1"/>
        <v>16.260000000000005</v>
      </c>
      <c r="O22" s="10">
        <f>'Nov 2023'!T22</f>
        <v>776.59999999999968</v>
      </c>
      <c r="P22" s="9">
        <v>0.16</v>
      </c>
      <c r="Q22" s="9">
        <f>'Nov 2023'!Q22+'dec 2023'!P22</f>
        <v>0.73</v>
      </c>
      <c r="R22" s="9">
        <v>0</v>
      </c>
      <c r="S22" s="9">
        <f>'Nov 2023'!S22+'dec 2023'!R22</f>
        <v>0</v>
      </c>
      <c r="T22" s="10">
        <f t="shared" si="2"/>
        <v>776.75999999999965</v>
      </c>
      <c r="U22" s="10">
        <f t="shared" si="3"/>
        <v>820.08999999999958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'Nov 2023'!H23</f>
        <v>1147.6319999999998</v>
      </c>
      <c r="D23" s="9">
        <v>1.01</v>
      </c>
      <c r="E23" s="9">
        <f>'Nov 2023'!E23+'dec 2023'!D23</f>
        <v>15.439999999999998</v>
      </c>
      <c r="F23" s="9">
        <v>0</v>
      </c>
      <c r="G23" s="9">
        <f>'Nov 2023'!G23+'dec 2023'!F23</f>
        <v>0</v>
      </c>
      <c r="H23" s="9">
        <f t="shared" si="0"/>
        <v>1148.6419999999998</v>
      </c>
      <c r="I23" s="9">
        <f>'Nov 2023'!N23</f>
        <v>55.313999999999986</v>
      </c>
      <c r="J23" s="9">
        <v>0.81</v>
      </c>
      <c r="K23" s="9">
        <f>'Nov 2023'!K23+'dec 2023'!J23</f>
        <v>5.9199999999999982</v>
      </c>
      <c r="L23" s="9">
        <v>0</v>
      </c>
      <c r="M23" s="9">
        <f>'Nov 2023'!M23+'dec 2023'!L23</f>
        <v>0</v>
      </c>
      <c r="N23" s="9">
        <f t="shared" si="1"/>
        <v>56.123999999999988</v>
      </c>
      <c r="O23" s="10">
        <f>'Nov 2023'!T23</f>
        <v>414.46499999999997</v>
      </c>
      <c r="P23" s="9">
        <v>0.52</v>
      </c>
      <c r="Q23" s="9">
        <f>'Nov 2023'!Q23+'dec 2023'!P23</f>
        <v>10.15</v>
      </c>
      <c r="R23" s="9">
        <v>0</v>
      </c>
      <c r="S23" s="9">
        <f>'Nov 2023'!S23+'dec 2023'!R23</f>
        <v>0</v>
      </c>
      <c r="T23" s="10">
        <f t="shared" si="2"/>
        <v>414.98499999999996</v>
      </c>
      <c r="U23" s="10">
        <f t="shared" si="3"/>
        <v>1619.7509999999997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'Nov 2023'!H24</f>
        <v>2251.1769999999988</v>
      </c>
      <c r="D24" s="15">
        <f t="shared" ref="D24:U24" si="7">SUM(D20:D23)</f>
        <v>1.01</v>
      </c>
      <c r="E24" s="15">
        <f t="shared" si="7"/>
        <v>15.439999999999998</v>
      </c>
      <c r="F24" s="15">
        <f t="shared" si="7"/>
        <v>0</v>
      </c>
      <c r="G24" s="15">
        <f t="shared" si="7"/>
        <v>90.67</v>
      </c>
      <c r="H24" s="15">
        <f t="shared" si="7"/>
        <v>2252.186999999999</v>
      </c>
      <c r="I24" s="15">
        <f>'Nov 2023'!N24</f>
        <v>285.41800000000012</v>
      </c>
      <c r="J24" s="15">
        <f t="shared" si="7"/>
        <v>0.97000000000000008</v>
      </c>
      <c r="K24" s="15">
        <f t="shared" si="7"/>
        <v>12.219999999999999</v>
      </c>
      <c r="L24" s="15">
        <f t="shared" si="7"/>
        <v>0</v>
      </c>
      <c r="M24" s="15">
        <f t="shared" si="7"/>
        <v>0</v>
      </c>
      <c r="N24" s="15">
        <f t="shared" si="7"/>
        <v>286.38800000000009</v>
      </c>
      <c r="O24" s="41">
        <f>'Nov 2023'!T24</f>
        <v>2251.1459999999997</v>
      </c>
      <c r="P24" s="15">
        <f t="shared" si="7"/>
        <v>0.72</v>
      </c>
      <c r="Q24" s="15">
        <f t="shared" si="7"/>
        <v>19.86</v>
      </c>
      <c r="R24" s="15">
        <f t="shared" si="7"/>
        <v>0</v>
      </c>
      <c r="S24" s="15">
        <f t="shared" si="7"/>
        <v>2.48</v>
      </c>
      <c r="T24" s="15">
        <f t="shared" si="7"/>
        <v>2251.8659999999995</v>
      </c>
      <c r="U24" s="15">
        <f t="shared" si="7"/>
        <v>4790.4409999999989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'Nov 2023'!H25</f>
        <v>8836.9229999999952</v>
      </c>
      <c r="D25" s="15">
        <f t="shared" ref="D25:U25" si="8">D24+D19+D15+D11</f>
        <v>1.87</v>
      </c>
      <c r="E25" s="15">
        <f t="shared" si="8"/>
        <v>33.119999999999997</v>
      </c>
      <c r="F25" s="15">
        <f t="shared" si="8"/>
        <v>0</v>
      </c>
      <c r="G25" s="15">
        <f t="shared" si="8"/>
        <v>109.35000000000001</v>
      </c>
      <c r="H25" s="15">
        <f t="shared" si="8"/>
        <v>8838.792999999996</v>
      </c>
      <c r="I25" s="15">
        <f>'Nov 2023'!N25</f>
        <v>1672.5610000000004</v>
      </c>
      <c r="J25" s="15">
        <f t="shared" si="8"/>
        <v>10.585000000000001</v>
      </c>
      <c r="K25" s="15">
        <f t="shared" si="8"/>
        <v>123.44200000000001</v>
      </c>
      <c r="L25" s="15">
        <f t="shared" si="8"/>
        <v>0</v>
      </c>
      <c r="M25" s="15">
        <f t="shared" si="8"/>
        <v>10.46</v>
      </c>
      <c r="N25" s="15">
        <f t="shared" si="8"/>
        <v>1683.1460000000002</v>
      </c>
      <c r="O25" s="41">
        <f>'Nov 2023'!T25</f>
        <v>7735.2640000000001</v>
      </c>
      <c r="P25" s="15">
        <f t="shared" si="8"/>
        <v>39.839999999999996</v>
      </c>
      <c r="Q25" s="15">
        <f t="shared" si="8"/>
        <v>746.32999999999993</v>
      </c>
      <c r="R25" s="15">
        <f t="shared" si="8"/>
        <v>0</v>
      </c>
      <c r="S25" s="15">
        <f t="shared" si="8"/>
        <v>22.419999999999998</v>
      </c>
      <c r="T25" s="15">
        <f t="shared" si="8"/>
        <v>7775.1039999999994</v>
      </c>
      <c r="U25" s="15">
        <f t="shared" si="8"/>
        <v>18297.042999999994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'Nov 2023'!H26</f>
        <v>1305.1619999999998</v>
      </c>
      <c r="D26" s="9">
        <v>5.43</v>
      </c>
      <c r="E26" s="9">
        <f>'Nov 2023'!E26+'dec 2023'!D26</f>
        <v>72.610000000000014</v>
      </c>
      <c r="F26" s="9">
        <v>0</v>
      </c>
      <c r="G26" s="9">
        <f>'Nov 2023'!G26+'dec 2023'!F26</f>
        <v>0.02</v>
      </c>
      <c r="H26" s="9">
        <f t="shared" si="0"/>
        <v>1310.5919999999999</v>
      </c>
      <c r="I26" s="9">
        <f>'Nov 2023'!N26</f>
        <v>0.76</v>
      </c>
      <c r="J26" s="9">
        <v>0.02</v>
      </c>
      <c r="K26" s="9">
        <f>'Nov 2023'!K26+'dec 2023'!J26</f>
        <v>0.67</v>
      </c>
      <c r="L26" s="9">
        <v>0</v>
      </c>
      <c r="M26" s="9">
        <f>'Nov 2023'!M26+'dec 2023'!L26</f>
        <v>0</v>
      </c>
      <c r="N26" s="9">
        <f t="shared" si="1"/>
        <v>0.78</v>
      </c>
      <c r="O26" s="10">
        <f>'Nov 2023'!T26</f>
        <v>206.66000000000003</v>
      </c>
      <c r="P26" s="9">
        <v>0.1</v>
      </c>
      <c r="Q26" s="9">
        <f>'Nov 2023'!Q26+'dec 2023'!P26</f>
        <v>3.03</v>
      </c>
      <c r="R26" s="9">
        <v>0</v>
      </c>
      <c r="S26" s="9">
        <f>'Nov 2023'!S26+'dec 2023'!R26</f>
        <v>0</v>
      </c>
      <c r="T26" s="10">
        <f t="shared" si="2"/>
        <v>206.76000000000002</v>
      </c>
      <c r="U26" s="10">
        <f t="shared" si="3"/>
        <v>1518.1319999999998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'Nov 2023'!H27</f>
        <v>10489.476999999995</v>
      </c>
      <c r="D27" s="9">
        <v>11.71</v>
      </c>
      <c r="E27" s="9">
        <f>'Nov 2023'!E27+'dec 2023'!D27</f>
        <v>87.03</v>
      </c>
      <c r="F27" s="9">
        <v>0</v>
      </c>
      <c r="G27" s="9">
        <f>'Nov 2023'!G27+'dec 2023'!F27</f>
        <v>0</v>
      </c>
      <c r="H27" s="9">
        <f t="shared" si="0"/>
        <v>10501.186999999994</v>
      </c>
      <c r="I27" s="9">
        <f>'Nov 2023'!N27</f>
        <v>431.81499999999994</v>
      </c>
      <c r="J27" s="9">
        <v>16.75</v>
      </c>
      <c r="K27" s="9">
        <f>'Nov 2023'!K27+'dec 2023'!J27</f>
        <v>40.129999999999995</v>
      </c>
      <c r="L27" s="9">
        <v>0</v>
      </c>
      <c r="M27" s="9">
        <f>'Nov 2023'!M27+'dec 2023'!L27</f>
        <v>0</v>
      </c>
      <c r="N27" s="9">
        <f t="shared" si="1"/>
        <v>448.56499999999994</v>
      </c>
      <c r="O27" s="10">
        <f>'Nov 2023'!T27</f>
        <v>45.870000000000019</v>
      </c>
      <c r="P27" s="9">
        <v>0.95</v>
      </c>
      <c r="Q27" s="9">
        <f>'Nov 2023'!Q27+'dec 2023'!P27</f>
        <v>3.3</v>
      </c>
      <c r="R27" s="9">
        <v>0</v>
      </c>
      <c r="S27" s="9">
        <f>'Nov 2023'!S27+'dec 2023'!R27</f>
        <v>0</v>
      </c>
      <c r="T27" s="10">
        <f t="shared" si="2"/>
        <v>46.820000000000022</v>
      </c>
      <c r="U27" s="10">
        <f t="shared" si="3"/>
        <v>10996.571999999995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'Nov 2023'!H28</f>
        <v>11794.638999999996</v>
      </c>
      <c r="D28" s="15">
        <f t="shared" ref="D28:U28" si="9">SUM(D26:D27)</f>
        <v>17.14</v>
      </c>
      <c r="E28" s="15">
        <f t="shared" si="9"/>
        <v>159.64000000000001</v>
      </c>
      <c r="F28" s="15">
        <f t="shared" si="9"/>
        <v>0</v>
      </c>
      <c r="G28" s="15">
        <f t="shared" si="9"/>
        <v>0.02</v>
      </c>
      <c r="H28" s="15">
        <f t="shared" si="9"/>
        <v>11811.778999999995</v>
      </c>
      <c r="I28" s="15">
        <f>'Nov 2023'!N28</f>
        <v>432.57499999999993</v>
      </c>
      <c r="J28" s="15">
        <f t="shared" si="9"/>
        <v>16.77</v>
      </c>
      <c r="K28" s="15">
        <f t="shared" si="9"/>
        <v>40.799999999999997</v>
      </c>
      <c r="L28" s="15">
        <f t="shared" si="9"/>
        <v>0</v>
      </c>
      <c r="M28" s="15">
        <f t="shared" si="9"/>
        <v>0</v>
      </c>
      <c r="N28" s="15">
        <f t="shared" si="9"/>
        <v>449.34499999999991</v>
      </c>
      <c r="O28" s="41">
        <f>'Nov 2023'!T28</f>
        <v>252.53000000000003</v>
      </c>
      <c r="P28" s="15">
        <f t="shared" si="9"/>
        <v>1.05</v>
      </c>
      <c r="Q28" s="15">
        <f t="shared" si="9"/>
        <v>6.33</v>
      </c>
      <c r="R28" s="15">
        <f t="shared" si="9"/>
        <v>0</v>
      </c>
      <c r="S28" s="15">
        <f t="shared" si="9"/>
        <v>0</v>
      </c>
      <c r="T28" s="15">
        <f t="shared" si="9"/>
        <v>253.58000000000004</v>
      </c>
      <c r="U28" s="15">
        <f t="shared" si="9"/>
        <v>12514.703999999994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'Nov 2023'!H29</f>
        <v>4652.8270000000011</v>
      </c>
      <c r="D29" s="9">
        <v>4.9470000000000001</v>
      </c>
      <c r="E29" s="9">
        <f>'Nov 2023'!E29+'dec 2023'!D29</f>
        <v>106.735</v>
      </c>
      <c r="F29" s="9">
        <v>0</v>
      </c>
      <c r="G29" s="9">
        <f>'Nov 2023'!G29+'dec 2023'!F29</f>
        <v>0</v>
      </c>
      <c r="H29" s="9">
        <f t="shared" si="0"/>
        <v>4657.7740000000013</v>
      </c>
      <c r="I29" s="9">
        <f>'Nov 2023'!N29</f>
        <v>185.37</v>
      </c>
      <c r="J29" s="9">
        <v>0</v>
      </c>
      <c r="K29" s="9">
        <f>'Nov 2023'!K29+'dec 2023'!J29</f>
        <v>0.67</v>
      </c>
      <c r="L29" s="9">
        <v>0</v>
      </c>
      <c r="M29" s="9">
        <f>'Nov 2023'!M29+'dec 2023'!L29</f>
        <v>0</v>
      </c>
      <c r="N29" s="9">
        <f t="shared" si="1"/>
        <v>185.37</v>
      </c>
      <c r="O29" s="10">
        <f>'Nov 2023'!T29</f>
        <v>773.79599999999982</v>
      </c>
      <c r="P29" s="9">
        <f>0.2+7.67</f>
        <v>7.87</v>
      </c>
      <c r="Q29" s="9">
        <f>'Nov 2023'!Q29+'dec 2023'!P29</f>
        <v>264.39599999999996</v>
      </c>
      <c r="R29" s="9">
        <v>0</v>
      </c>
      <c r="S29" s="9">
        <f>'Nov 2023'!S29+'dec 2023'!R29</f>
        <v>0</v>
      </c>
      <c r="T29" s="10">
        <f t="shared" si="2"/>
        <v>781.66599999999983</v>
      </c>
      <c r="U29" s="10">
        <f t="shared" si="3"/>
        <v>5624.8100000000013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'Nov 2023'!H30</f>
        <v>6553.3020000000015</v>
      </c>
      <c r="D30" s="9">
        <v>17.18</v>
      </c>
      <c r="E30" s="9">
        <f>'Nov 2023'!E30+'dec 2023'!D30</f>
        <v>119.48999999999998</v>
      </c>
      <c r="F30" s="9">
        <v>0</v>
      </c>
      <c r="G30" s="9">
        <f>'Nov 2023'!G30+'dec 2023'!F30</f>
        <v>0</v>
      </c>
      <c r="H30" s="9">
        <f t="shared" si="0"/>
        <v>6570.4820000000018</v>
      </c>
      <c r="I30" s="9">
        <f>'Nov 2023'!N30</f>
        <v>134.93</v>
      </c>
      <c r="J30" s="9">
        <v>0</v>
      </c>
      <c r="K30" s="9">
        <f>'Nov 2023'!K30+'dec 2023'!J30</f>
        <v>4.13</v>
      </c>
      <c r="L30" s="9">
        <v>0</v>
      </c>
      <c r="M30" s="9">
        <f>'Nov 2023'!M30+'dec 2023'!L30</f>
        <v>0</v>
      </c>
      <c r="N30" s="9">
        <f t="shared" si="1"/>
        <v>134.93</v>
      </c>
      <c r="O30" s="10">
        <f>'Nov 2023'!T30</f>
        <v>311.12</v>
      </c>
      <c r="P30" s="9">
        <v>0</v>
      </c>
      <c r="Q30" s="9">
        <f>'Nov 2023'!Q30+'dec 2023'!P30</f>
        <v>116.33999999999999</v>
      </c>
      <c r="R30" s="9">
        <v>0</v>
      </c>
      <c r="S30" s="9">
        <f>'Nov 2023'!S30+'dec 2023'!R30</f>
        <v>0</v>
      </c>
      <c r="T30" s="10">
        <f t="shared" si="2"/>
        <v>311.12</v>
      </c>
      <c r="U30" s="10">
        <f t="shared" si="3"/>
        <v>7016.532000000002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'Nov 2023'!H31</f>
        <v>3157.8379999999997</v>
      </c>
      <c r="D31" s="9">
        <v>2.9350000000000001</v>
      </c>
      <c r="E31" s="9">
        <f>'Nov 2023'!E31+'dec 2023'!D31</f>
        <v>32.418000000000006</v>
      </c>
      <c r="F31" s="9">
        <v>0</v>
      </c>
      <c r="G31" s="9">
        <f>'Nov 2023'!G31+'dec 2023'!F31</f>
        <v>0</v>
      </c>
      <c r="H31" s="9">
        <f t="shared" si="0"/>
        <v>3160.7729999999997</v>
      </c>
      <c r="I31" s="9">
        <f>'Nov 2023'!N31</f>
        <v>50.180000000000007</v>
      </c>
      <c r="J31" s="9">
        <v>0</v>
      </c>
      <c r="K31" s="9">
        <f>'Nov 2023'!K31+'dec 2023'!J31</f>
        <v>0</v>
      </c>
      <c r="L31" s="9">
        <v>0</v>
      </c>
      <c r="M31" s="9">
        <f>'Nov 2023'!M31+'dec 2023'!L31</f>
        <v>0</v>
      </c>
      <c r="N31" s="9">
        <f t="shared" si="1"/>
        <v>50.180000000000007</v>
      </c>
      <c r="O31" s="10">
        <f>'Nov 2023'!T31</f>
        <v>244.44</v>
      </c>
      <c r="P31" s="9">
        <v>0</v>
      </c>
      <c r="Q31" s="9">
        <f>'Nov 2023'!Q31+'dec 2023'!P31</f>
        <v>0</v>
      </c>
      <c r="R31" s="9">
        <v>0</v>
      </c>
      <c r="S31" s="9">
        <f>'Nov 2023'!S31+'dec 2023'!R31</f>
        <v>0</v>
      </c>
      <c r="T31" s="10">
        <f t="shared" si="2"/>
        <v>244.44</v>
      </c>
      <c r="U31" s="10">
        <f t="shared" si="3"/>
        <v>3455.3929999999996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'Nov 2023'!H32</f>
        <v>4433.1799999999994</v>
      </c>
      <c r="D32" s="9">
        <v>6.84</v>
      </c>
      <c r="E32" s="9">
        <f>'Nov 2023'!E32+'dec 2023'!D32</f>
        <v>38.739999999999995</v>
      </c>
      <c r="F32" s="9">
        <v>0</v>
      </c>
      <c r="G32" s="9">
        <f>'Nov 2023'!G32+'dec 2023'!F32</f>
        <v>0</v>
      </c>
      <c r="H32" s="9">
        <f t="shared" si="0"/>
        <v>4440.0199999999995</v>
      </c>
      <c r="I32" s="9">
        <f>'Nov 2023'!N32</f>
        <v>253.09599999999995</v>
      </c>
      <c r="J32" s="9">
        <v>1.45</v>
      </c>
      <c r="K32" s="9">
        <f>'Nov 2023'!K32+'dec 2023'!J32</f>
        <v>28.166000000000004</v>
      </c>
      <c r="L32" s="9">
        <v>0</v>
      </c>
      <c r="M32" s="9">
        <f>'Nov 2023'!M32+'dec 2023'!L32</f>
        <v>0</v>
      </c>
      <c r="N32" s="9">
        <f t="shared" si="1"/>
        <v>254.54599999999994</v>
      </c>
      <c r="O32" s="10">
        <f>'Nov 2023'!T32</f>
        <v>243.75999999999996</v>
      </c>
      <c r="P32" s="9">
        <v>0.06</v>
      </c>
      <c r="Q32" s="9">
        <f>'Nov 2023'!Q32+'dec 2023'!P32</f>
        <v>0.16999999999999998</v>
      </c>
      <c r="R32" s="9">
        <v>0</v>
      </c>
      <c r="S32" s="9">
        <f>'Nov 2023'!S32+'dec 2023'!R32</f>
        <v>0</v>
      </c>
      <c r="T32" s="10">
        <f t="shared" si="2"/>
        <v>243.81999999999996</v>
      </c>
      <c r="U32" s="10">
        <f t="shared" si="3"/>
        <v>4938.3859999999995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'Nov 2023'!H33</f>
        <v>18797.147000000001</v>
      </c>
      <c r="D33" s="15">
        <f t="shared" ref="D33:U33" si="10">SUM(D29:D32)</f>
        <v>31.901999999999997</v>
      </c>
      <c r="E33" s="15">
        <f t="shared" si="10"/>
        <v>297.38299999999998</v>
      </c>
      <c r="F33" s="15">
        <f t="shared" si="10"/>
        <v>0</v>
      </c>
      <c r="G33" s="15">
        <f t="shared" si="10"/>
        <v>0</v>
      </c>
      <c r="H33" s="15">
        <f t="shared" si="10"/>
        <v>18829.049000000003</v>
      </c>
      <c r="I33" s="15">
        <f>'Nov 2023'!N33</f>
        <v>623.57600000000002</v>
      </c>
      <c r="J33" s="15">
        <f t="shared" si="10"/>
        <v>1.45</v>
      </c>
      <c r="K33" s="15">
        <f t="shared" si="10"/>
        <v>32.966000000000001</v>
      </c>
      <c r="L33" s="15">
        <f t="shared" si="10"/>
        <v>0</v>
      </c>
      <c r="M33" s="15">
        <f t="shared" si="10"/>
        <v>0</v>
      </c>
      <c r="N33" s="15">
        <f t="shared" si="10"/>
        <v>625.02599999999995</v>
      </c>
      <c r="O33" s="41">
        <f>'Nov 2023'!T33</f>
        <v>1573.1159999999998</v>
      </c>
      <c r="P33" s="15">
        <f t="shared" si="10"/>
        <v>7.93</v>
      </c>
      <c r="Q33" s="15">
        <f t="shared" si="10"/>
        <v>380.90599999999995</v>
      </c>
      <c r="R33" s="15">
        <f t="shared" si="10"/>
        <v>0</v>
      </c>
      <c r="S33" s="15">
        <f t="shared" si="10"/>
        <v>0</v>
      </c>
      <c r="T33" s="15">
        <f t="shared" si="10"/>
        <v>1581.0459999999998</v>
      </c>
      <c r="U33" s="15">
        <f t="shared" si="10"/>
        <v>21035.121000000003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'Nov 2023'!H34</f>
        <v>6349.2900000000027</v>
      </c>
      <c r="D34" s="9">
        <f>13.05+20.17</f>
        <v>33.22</v>
      </c>
      <c r="E34" s="9">
        <f>'Nov 2023'!E34+'dec 2023'!D34</f>
        <v>281.15000000000003</v>
      </c>
      <c r="F34" s="9">
        <v>0</v>
      </c>
      <c r="G34" s="9">
        <f>'Nov 2023'!G34+'dec 2023'!F34</f>
        <v>26.64</v>
      </c>
      <c r="H34" s="9">
        <f t="shared" si="0"/>
        <v>6382.5100000000029</v>
      </c>
      <c r="I34" s="9">
        <f>'Nov 2023'!N34</f>
        <v>2</v>
      </c>
      <c r="J34" s="9">
        <v>0</v>
      </c>
      <c r="K34" s="9">
        <f>'Nov 2023'!K34+'dec 2023'!J34</f>
        <v>0</v>
      </c>
      <c r="L34" s="9">
        <v>0</v>
      </c>
      <c r="M34" s="9">
        <f>'Nov 2023'!M34+'dec 2023'!L34</f>
        <v>0</v>
      </c>
      <c r="N34" s="9">
        <f t="shared" si="1"/>
        <v>2</v>
      </c>
      <c r="O34" s="10">
        <f>'Nov 2023'!T34</f>
        <v>22.07</v>
      </c>
      <c r="P34" s="9">
        <v>0.2</v>
      </c>
      <c r="Q34" s="9">
        <f>'Nov 2023'!Q34+'dec 2023'!P34</f>
        <v>0.58000000000000007</v>
      </c>
      <c r="R34" s="9">
        <v>0</v>
      </c>
      <c r="S34" s="9">
        <f>'Nov 2023'!S34+'dec 2023'!R34</f>
        <v>17.010000000000002</v>
      </c>
      <c r="T34" s="10">
        <f t="shared" si="2"/>
        <v>22.27</v>
      </c>
      <c r="U34" s="10">
        <f t="shared" si="3"/>
        <v>6406.7800000000034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'Nov 2023'!H35</f>
        <v>8572.9250000000011</v>
      </c>
      <c r="D35" s="9">
        <f>20.52+437.5</f>
        <v>458.02</v>
      </c>
      <c r="E35" s="9">
        <f>'Nov 2023'!E35+'dec 2023'!D35</f>
        <v>4121.18</v>
      </c>
      <c r="F35" s="9">
        <v>0</v>
      </c>
      <c r="G35" s="9">
        <f>'Nov 2023'!G35+'dec 2023'!F35</f>
        <v>0</v>
      </c>
      <c r="H35" s="9">
        <f t="shared" si="0"/>
        <v>9030.9450000000015</v>
      </c>
      <c r="I35" s="9">
        <f>'Nov 2023'!N35</f>
        <v>0.1</v>
      </c>
      <c r="J35" s="9">
        <v>0</v>
      </c>
      <c r="K35" s="9">
        <f>'Nov 2023'!K35+'dec 2023'!J35</f>
        <v>0</v>
      </c>
      <c r="L35" s="9">
        <v>0</v>
      </c>
      <c r="M35" s="9">
        <f>'Nov 2023'!M35+'dec 2023'!L35</f>
        <v>0</v>
      </c>
      <c r="N35" s="9">
        <f t="shared" si="1"/>
        <v>0.1</v>
      </c>
      <c r="O35" s="10">
        <f>'Nov 2023'!T35</f>
        <v>125.47000000000001</v>
      </c>
      <c r="P35" s="9">
        <v>0</v>
      </c>
      <c r="Q35" s="9">
        <f>'Nov 2023'!Q35+'dec 2023'!P35</f>
        <v>0</v>
      </c>
      <c r="R35" s="9">
        <v>0</v>
      </c>
      <c r="S35" s="9">
        <f>'Nov 2023'!S35+'dec 2023'!R35</f>
        <v>0</v>
      </c>
      <c r="T35" s="10">
        <f t="shared" si="2"/>
        <v>125.47000000000001</v>
      </c>
      <c r="U35" s="10">
        <f t="shared" si="3"/>
        <v>9156.5150000000012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'Nov 2023'!H36</f>
        <v>22052.190000000006</v>
      </c>
      <c r="D36" s="9">
        <f>11.09+305.38</f>
        <v>316.46999999999997</v>
      </c>
      <c r="E36" s="9">
        <f>'Nov 2023'!E36+'dec 2023'!D36</f>
        <v>2899.64</v>
      </c>
      <c r="F36" s="9">
        <v>0</v>
      </c>
      <c r="G36" s="9">
        <f>'Nov 2023'!G36+'dec 2023'!F36</f>
        <v>0</v>
      </c>
      <c r="H36" s="9">
        <f t="shared" si="0"/>
        <v>22368.660000000007</v>
      </c>
      <c r="I36" s="9">
        <f>'Nov 2023'!N36</f>
        <v>8.5</v>
      </c>
      <c r="J36" s="9">
        <v>0</v>
      </c>
      <c r="K36" s="9">
        <f>'Nov 2023'!K36+'dec 2023'!J36</f>
        <v>0.26</v>
      </c>
      <c r="L36" s="9">
        <v>0</v>
      </c>
      <c r="M36" s="9">
        <f>'Nov 2023'!M36+'dec 2023'!L36</f>
        <v>0.26</v>
      </c>
      <c r="N36" s="9">
        <f t="shared" si="1"/>
        <v>8.5</v>
      </c>
      <c r="O36" s="10">
        <f>'Nov 2023'!T36</f>
        <v>72.39</v>
      </c>
      <c r="P36" s="9">
        <v>0</v>
      </c>
      <c r="Q36" s="9">
        <f>'Nov 2023'!Q36+'dec 2023'!P36</f>
        <v>0</v>
      </c>
      <c r="R36" s="9">
        <v>0</v>
      </c>
      <c r="S36" s="9">
        <f>'Nov 2023'!S36+'dec 2023'!R36</f>
        <v>0</v>
      </c>
      <c r="T36" s="10">
        <f t="shared" si="2"/>
        <v>72.39</v>
      </c>
      <c r="U36" s="10">
        <f t="shared" si="3"/>
        <v>22449.550000000007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'Nov 2023'!H37</f>
        <v>7055.9799999999987</v>
      </c>
      <c r="D37" s="9">
        <v>17.05</v>
      </c>
      <c r="E37" s="9">
        <f>'Nov 2023'!E37+'dec 2023'!D37</f>
        <v>48.09</v>
      </c>
      <c r="F37" s="9">
        <v>0</v>
      </c>
      <c r="G37" s="9">
        <f>'Nov 2023'!G37+'dec 2023'!F37</f>
        <v>0.02</v>
      </c>
      <c r="H37" s="9">
        <f t="shared" si="0"/>
        <v>7073.0299999999988</v>
      </c>
      <c r="I37" s="9">
        <f>'Nov 2023'!N37</f>
        <v>0</v>
      </c>
      <c r="J37" s="9">
        <v>0</v>
      </c>
      <c r="K37" s="9">
        <f>'Nov 2023'!K37+'dec 2023'!J37</f>
        <v>0</v>
      </c>
      <c r="L37" s="9">
        <v>0</v>
      </c>
      <c r="M37" s="9">
        <f>'Nov 2023'!M37+'dec 2023'!L37</f>
        <v>0</v>
      </c>
      <c r="N37" s="9">
        <f t="shared" si="1"/>
        <v>0</v>
      </c>
      <c r="O37" s="10">
        <f>'Nov 2023'!T37</f>
        <v>3.1</v>
      </c>
      <c r="P37" s="9">
        <v>0</v>
      </c>
      <c r="Q37" s="9">
        <f>'Nov 2023'!Q37+'dec 2023'!P37</f>
        <v>0</v>
      </c>
      <c r="R37" s="9">
        <v>0</v>
      </c>
      <c r="S37" s="9">
        <f>'Nov 2023'!S37+'dec 2023'!R37</f>
        <v>0</v>
      </c>
      <c r="T37" s="10">
        <f t="shared" si="2"/>
        <v>3.1</v>
      </c>
      <c r="U37" s="10">
        <f t="shared" si="3"/>
        <v>7076.1299999999992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'Nov 2023'!H38</f>
        <v>44030.385000000009</v>
      </c>
      <c r="D38" s="15">
        <f t="shared" ref="D38:U38" si="11">SUM(D34:D37)</f>
        <v>824.76</v>
      </c>
      <c r="E38" s="15">
        <f t="shared" si="11"/>
        <v>7350.0599999999995</v>
      </c>
      <c r="F38" s="15">
        <f t="shared" si="11"/>
        <v>0</v>
      </c>
      <c r="G38" s="15">
        <f t="shared" si="11"/>
        <v>26.66</v>
      </c>
      <c r="H38" s="15">
        <f t="shared" si="11"/>
        <v>44855.145000000011</v>
      </c>
      <c r="I38" s="15">
        <f>'Nov 2023'!N38</f>
        <v>10.6</v>
      </c>
      <c r="J38" s="15">
        <f t="shared" si="11"/>
        <v>0</v>
      </c>
      <c r="K38" s="15">
        <f t="shared" si="11"/>
        <v>0.26</v>
      </c>
      <c r="L38" s="15">
        <f t="shared" si="11"/>
        <v>0</v>
      </c>
      <c r="M38" s="15">
        <f t="shared" si="11"/>
        <v>0.26</v>
      </c>
      <c r="N38" s="15">
        <f t="shared" si="11"/>
        <v>10.6</v>
      </c>
      <c r="O38" s="41">
        <f>'Nov 2023'!T38</f>
        <v>223.03</v>
      </c>
      <c r="P38" s="15">
        <f t="shared" si="11"/>
        <v>0.2</v>
      </c>
      <c r="Q38" s="15">
        <f t="shared" si="11"/>
        <v>0.58000000000000007</v>
      </c>
      <c r="R38" s="15">
        <f t="shared" si="11"/>
        <v>0</v>
      </c>
      <c r="S38" s="15">
        <f t="shared" si="11"/>
        <v>17.010000000000002</v>
      </c>
      <c r="T38" s="15">
        <f t="shared" si="11"/>
        <v>223.23</v>
      </c>
      <c r="U38" s="15">
        <f t="shared" si="11"/>
        <v>45088.975000000013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'Nov 2023'!H39</f>
        <v>74622.171000000002</v>
      </c>
      <c r="D39" s="15">
        <f t="shared" ref="D39:U39" si="12">D38+D33+D28</f>
        <v>873.80200000000002</v>
      </c>
      <c r="E39" s="15">
        <f t="shared" si="12"/>
        <v>7807.0829999999996</v>
      </c>
      <c r="F39" s="15">
        <f t="shared" si="12"/>
        <v>0</v>
      </c>
      <c r="G39" s="15">
        <f t="shared" si="12"/>
        <v>26.68</v>
      </c>
      <c r="H39" s="15">
        <f t="shared" si="12"/>
        <v>75495.973000000013</v>
      </c>
      <c r="I39" s="15">
        <f>'Nov 2023'!N39</f>
        <v>1066.751</v>
      </c>
      <c r="J39" s="15">
        <f t="shared" si="12"/>
        <v>18.22</v>
      </c>
      <c r="K39" s="15">
        <f t="shared" si="12"/>
        <v>74.025999999999996</v>
      </c>
      <c r="L39" s="15">
        <f t="shared" si="12"/>
        <v>0</v>
      </c>
      <c r="M39" s="15">
        <f t="shared" si="12"/>
        <v>0.26</v>
      </c>
      <c r="N39" s="15">
        <f t="shared" si="12"/>
        <v>1084.971</v>
      </c>
      <c r="O39" s="41">
        <f>'Nov 2023'!T39</f>
        <v>2048.6759999999999</v>
      </c>
      <c r="P39" s="15">
        <f t="shared" si="12"/>
        <v>9.18</v>
      </c>
      <c r="Q39" s="15">
        <f t="shared" si="12"/>
        <v>387.81599999999992</v>
      </c>
      <c r="R39" s="15">
        <f t="shared" si="12"/>
        <v>0</v>
      </c>
      <c r="S39" s="15">
        <f t="shared" si="12"/>
        <v>17.010000000000002</v>
      </c>
      <c r="T39" s="15">
        <f t="shared" si="12"/>
        <v>2057.8559999999998</v>
      </c>
      <c r="U39" s="15">
        <f t="shared" si="12"/>
        <v>78638.800000000017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'Nov 2023'!H40</f>
        <v>13984.828000000001</v>
      </c>
      <c r="D40" s="9">
        <v>7.38</v>
      </c>
      <c r="E40" s="9">
        <f>'Nov 2023'!E40+'dec 2023'!D40</f>
        <v>82.96</v>
      </c>
      <c r="F40" s="9">
        <v>0</v>
      </c>
      <c r="G40" s="9">
        <f>'Nov 2023'!G40+'dec 2023'!F40</f>
        <v>0</v>
      </c>
      <c r="H40" s="9">
        <f t="shared" si="0"/>
        <v>13992.208000000001</v>
      </c>
      <c r="I40" s="9">
        <f>'Nov 2023'!N40</f>
        <v>226.8</v>
      </c>
      <c r="J40" s="9">
        <v>0</v>
      </c>
      <c r="K40" s="9">
        <f>'Nov 2023'!K40+'dec 2023'!J40</f>
        <v>0</v>
      </c>
      <c r="L40" s="9">
        <v>0</v>
      </c>
      <c r="M40" s="9">
        <f>'Nov 2023'!M40+'dec 2023'!L40</f>
        <v>0</v>
      </c>
      <c r="N40" s="9">
        <f t="shared" si="1"/>
        <v>226.8</v>
      </c>
      <c r="O40" s="10">
        <f>'Nov 2023'!T40</f>
        <v>75.02000000000001</v>
      </c>
      <c r="P40" s="9">
        <v>0</v>
      </c>
      <c r="Q40" s="9">
        <f>'Nov 2023'!Q40+'dec 2023'!P40</f>
        <v>0</v>
      </c>
      <c r="R40" s="9">
        <v>0</v>
      </c>
      <c r="S40" s="9">
        <f>'Nov 2023'!S40+'dec 2023'!R40</f>
        <v>0</v>
      </c>
      <c r="T40" s="10">
        <f t="shared" si="2"/>
        <v>75.02000000000001</v>
      </c>
      <c r="U40" s="10">
        <f t="shared" si="3"/>
        <v>14294.028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'Nov 2023'!H41</f>
        <v>10712.725999999995</v>
      </c>
      <c r="D41" s="9">
        <v>2.2799999999999998</v>
      </c>
      <c r="E41" s="9">
        <f>'Nov 2023'!E41+'dec 2023'!D41</f>
        <v>22.77</v>
      </c>
      <c r="F41" s="9">
        <v>0.02</v>
      </c>
      <c r="G41" s="9">
        <f>'Nov 2023'!G41+'dec 2023'!F41</f>
        <v>0.02</v>
      </c>
      <c r="H41" s="9">
        <f t="shared" si="0"/>
        <v>10714.985999999995</v>
      </c>
      <c r="I41" s="9">
        <f>'Nov 2023'!N41</f>
        <v>0</v>
      </c>
      <c r="J41" s="9">
        <v>0</v>
      </c>
      <c r="K41" s="9">
        <f>'Nov 2023'!K41+'dec 2023'!J41</f>
        <v>0</v>
      </c>
      <c r="L41" s="9">
        <v>0</v>
      </c>
      <c r="M41" s="9">
        <f>'Nov 2023'!M41+'dec 2023'!L41</f>
        <v>0</v>
      </c>
      <c r="N41" s="9">
        <f t="shared" si="1"/>
        <v>0</v>
      </c>
      <c r="O41" s="10">
        <f>'Nov 2023'!T41</f>
        <v>89.580000000000013</v>
      </c>
      <c r="P41" s="9">
        <v>0</v>
      </c>
      <c r="Q41" s="9">
        <f>'Nov 2023'!Q41+'dec 2023'!P41</f>
        <v>0</v>
      </c>
      <c r="R41" s="9">
        <v>0</v>
      </c>
      <c r="S41" s="9">
        <f>'Nov 2023'!S41+'dec 2023'!R41</f>
        <v>0</v>
      </c>
      <c r="T41" s="10">
        <f t="shared" si="2"/>
        <v>89.580000000000013</v>
      </c>
      <c r="U41" s="10">
        <f t="shared" si="3"/>
        <v>10804.565999999995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'Nov 2023'!H42</f>
        <v>24973.554000000004</v>
      </c>
      <c r="D42" s="9">
        <f>2.79+96.87</f>
        <v>99.660000000000011</v>
      </c>
      <c r="E42" s="9">
        <f>'Nov 2023'!E42+'dec 2023'!D42</f>
        <v>992.98</v>
      </c>
      <c r="F42" s="9">
        <v>0</v>
      </c>
      <c r="G42" s="9">
        <f>'Nov 2023'!G42+'dec 2023'!F42</f>
        <v>0</v>
      </c>
      <c r="H42" s="9">
        <f t="shared" si="0"/>
        <v>25073.214000000004</v>
      </c>
      <c r="I42" s="9">
        <f>'Nov 2023'!N42</f>
        <v>0</v>
      </c>
      <c r="J42" s="9">
        <v>0</v>
      </c>
      <c r="K42" s="9">
        <f>'Nov 2023'!K42+'dec 2023'!J42</f>
        <v>0</v>
      </c>
      <c r="L42" s="9">
        <v>0</v>
      </c>
      <c r="M42" s="9">
        <f>'Nov 2023'!M42+'dec 2023'!L42</f>
        <v>0</v>
      </c>
      <c r="N42" s="9">
        <f t="shared" si="1"/>
        <v>0</v>
      </c>
      <c r="O42" s="10">
        <f>'Nov 2023'!T42</f>
        <v>38.47</v>
      </c>
      <c r="P42" s="9">
        <v>0</v>
      </c>
      <c r="Q42" s="9">
        <f>'Nov 2023'!Q42+'dec 2023'!P42</f>
        <v>0</v>
      </c>
      <c r="R42" s="9">
        <v>0</v>
      </c>
      <c r="S42" s="9">
        <f>'Nov 2023'!S42+'dec 2023'!R42</f>
        <v>0</v>
      </c>
      <c r="T42" s="10">
        <f t="shared" si="2"/>
        <v>38.47</v>
      </c>
      <c r="U42" s="10">
        <f t="shared" si="3"/>
        <v>25111.684000000005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'Nov 2023'!H43</f>
        <v>3060.3330000000005</v>
      </c>
      <c r="D43" s="9">
        <f>2.67+55.71</f>
        <v>58.38</v>
      </c>
      <c r="E43" s="9">
        <f>'Nov 2023'!E43+'dec 2023'!D43</f>
        <v>638.71</v>
      </c>
      <c r="F43" s="9">
        <v>0</v>
      </c>
      <c r="G43" s="9">
        <f>'Nov 2023'!G43+'dec 2023'!F43</f>
        <v>0</v>
      </c>
      <c r="H43" s="9">
        <f t="shared" si="0"/>
        <v>3118.7130000000006</v>
      </c>
      <c r="I43" s="9">
        <f>'Nov 2023'!N43</f>
        <v>0</v>
      </c>
      <c r="J43" s="9">
        <v>0</v>
      </c>
      <c r="K43" s="9">
        <f>'Nov 2023'!K43+'dec 2023'!J43</f>
        <v>0</v>
      </c>
      <c r="L43" s="9">
        <v>0</v>
      </c>
      <c r="M43" s="9">
        <f>'Nov 2023'!M43+'dec 2023'!L43</f>
        <v>0</v>
      </c>
      <c r="N43" s="9">
        <f t="shared" si="1"/>
        <v>0</v>
      </c>
      <c r="O43" s="10">
        <f>'Nov 2023'!T43</f>
        <v>146.49</v>
      </c>
      <c r="P43" s="9">
        <v>0</v>
      </c>
      <c r="Q43" s="9">
        <f>'Nov 2023'!Q43+'dec 2023'!P43</f>
        <v>0</v>
      </c>
      <c r="R43" s="9">
        <v>0</v>
      </c>
      <c r="S43" s="9">
        <f>'Nov 2023'!S43+'dec 2023'!R43</f>
        <v>0</v>
      </c>
      <c r="T43" s="10">
        <f t="shared" si="2"/>
        <v>146.49</v>
      </c>
      <c r="U43" s="10">
        <f t="shared" si="3"/>
        <v>3265.2030000000004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'Nov 2023'!H44</f>
        <v>52731.440999999999</v>
      </c>
      <c r="D44" s="15">
        <f t="shared" ref="D44:U44" si="13">SUM(D40:D43)</f>
        <v>167.70000000000002</v>
      </c>
      <c r="E44" s="15">
        <f t="shared" si="13"/>
        <v>1737.42</v>
      </c>
      <c r="F44" s="15">
        <f t="shared" si="13"/>
        <v>0.02</v>
      </c>
      <c r="G44" s="15">
        <f t="shared" si="13"/>
        <v>0.02</v>
      </c>
      <c r="H44" s="15">
        <f t="shared" si="13"/>
        <v>52899.120999999999</v>
      </c>
      <c r="I44" s="15">
        <f>'Nov 2023'!N44</f>
        <v>226.8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3"/>
        <v>226.8</v>
      </c>
      <c r="O44" s="41">
        <f>'Nov 2023'!T44</f>
        <v>349.56000000000006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3"/>
        <v>0</v>
      </c>
      <c r="T44" s="15">
        <f t="shared" si="13"/>
        <v>349.56000000000006</v>
      </c>
      <c r="U44" s="15">
        <f t="shared" si="13"/>
        <v>53475.481000000007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'Nov 2023'!H45</f>
        <v>14167.275000000001</v>
      </c>
      <c r="D45" s="9">
        <v>5.47</v>
      </c>
      <c r="E45" s="9">
        <f>'Nov 2023'!E45+'dec 2023'!D45</f>
        <v>47.08</v>
      </c>
      <c r="F45" s="9">
        <v>0</v>
      </c>
      <c r="G45" s="9">
        <f>'Nov 2023'!G45+'dec 2023'!F45</f>
        <v>0</v>
      </c>
      <c r="H45" s="9">
        <f t="shared" si="0"/>
        <v>14172.745000000001</v>
      </c>
      <c r="I45" s="9">
        <f>'Nov 2023'!N45</f>
        <v>8.16</v>
      </c>
      <c r="J45" s="9">
        <v>0</v>
      </c>
      <c r="K45" s="9">
        <f>'Nov 2023'!K45+'dec 2023'!J45</f>
        <v>1.49</v>
      </c>
      <c r="L45" s="9">
        <v>0</v>
      </c>
      <c r="M45" s="9">
        <f>'Nov 2023'!M45+'dec 2023'!L45</f>
        <v>0</v>
      </c>
      <c r="N45" s="9">
        <f t="shared" si="1"/>
        <v>8.16</v>
      </c>
      <c r="O45" s="10">
        <f>'Nov 2023'!T45</f>
        <v>105.87000000000002</v>
      </c>
      <c r="P45" s="9">
        <v>0</v>
      </c>
      <c r="Q45" s="9">
        <f>'Nov 2023'!Q45+'dec 2023'!P45</f>
        <v>0</v>
      </c>
      <c r="R45" s="9">
        <v>0</v>
      </c>
      <c r="S45" s="9">
        <f>'Nov 2023'!S45+'dec 2023'!R45</f>
        <v>0</v>
      </c>
      <c r="T45" s="10">
        <f t="shared" si="2"/>
        <v>105.87000000000002</v>
      </c>
      <c r="U45" s="10">
        <f t="shared" si="3"/>
        <v>14286.775000000001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'Nov 2023'!H46</f>
        <v>7547.5049999999992</v>
      </c>
      <c r="D46" s="9">
        <v>9.92</v>
      </c>
      <c r="E46" s="9">
        <f>'Nov 2023'!E46+'dec 2023'!D46</f>
        <v>144.36999999999998</v>
      </c>
      <c r="F46" s="9">
        <v>0</v>
      </c>
      <c r="G46" s="9">
        <f>'Nov 2023'!G46+'dec 2023'!F46</f>
        <v>0</v>
      </c>
      <c r="H46" s="9">
        <f t="shared" si="0"/>
        <v>7557.4249999999993</v>
      </c>
      <c r="I46" s="9">
        <f>'Nov 2023'!N46</f>
        <v>0</v>
      </c>
      <c r="J46" s="9">
        <v>0</v>
      </c>
      <c r="K46" s="9">
        <f>'Nov 2023'!K46+'dec 2023'!J46</f>
        <v>0</v>
      </c>
      <c r="L46" s="9">
        <v>0</v>
      </c>
      <c r="M46" s="9">
        <f>'Nov 2023'!M46+'dec 2023'!L46</f>
        <v>0</v>
      </c>
      <c r="N46" s="9">
        <f t="shared" si="1"/>
        <v>0</v>
      </c>
      <c r="O46" s="10">
        <f>'Nov 2023'!T46</f>
        <v>7.5900000000000007</v>
      </c>
      <c r="P46" s="9">
        <v>0</v>
      </c>
      <c r="Q46" s="9">
        <f>'Nov 2023'!Q46+'dec 2023'!P46</f>
        <v>0</v>
      </c>
      <c r="R46" s="9">
        <v>0</v>
      </c>
      <c r="S46" s="9">
        <f>'Nov 2023'!S46+'dec 2023'!R46</f>
        <v>0</v>
      </c>
      <c r="T46" s="10">
        <f t="shared" si="2"/>
        <v>7.5900000000000007</v>
      </c>
      <c r="U46" s="10">
        <f t="shared" si="3"/>
        <v>7565.0149999999994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'Nov 2023'!H47</f>
        <v>12308.940000000006</v>
      </c>
      <c r="D47" s="9">
        <v>1.95</v>
      </c>
      <c r="E47" s="9">
        <f>'Nov 2023'!E47+'dec 2023'!D47</f>
        <v>6.8500000000000005</v>
      </c>
      <c r="F47" s="9">
        <v>0</v>
      </c>
      <c r="G47" s="9">
        <f>'Nov 2023'!G47+'dec 2023'!F47</f>
        <v>0</v>
      </c>
      <c r="H47" s="9">
        <f t="shared" si="0"/>
        <v>12310.890000000007</v>
      </c>
      <c r="I47" s="9">
        <f>'Nov 2023'!N47</f>
        <v>1.2999999999999998</v>
      </c>
      <c r="J47" s="9">
        <v>0</v>
      </c>
      <c r="K47" s="9">
        <f>'Nov 2023'!K47+'dec 2023'!J47</f>
        <v>0</v>
      </c>
      <c r="L47" s="9">
        <v>0</v>
      </c>
      <c r="M47" s="9">
        <f>'Nov 2023'!M47+'dec 2023'!L47</f>
        <v>0</v>
      </c>
      <c r="N47" s="9">
        <f t="shared" si="1"/>
        <v>1.2999999999999998</v>
      </c>
      <c r="O47" s="10">
        <f>'Nov 2023'!T47</f>
        <v>86.18</v>
      </c>
      <c r="P47" s="9">
        <v>0</v>
      </c>
      <c r="Q47" s="9">
        <f>'Nov 2023'!Q47+'dec 2023'!P47</f>
        <v>0</v>
      </c>
      <c r="R47" s="9">
        <v>0</v>
      </c>
      <c r="S47" s="9">
        <f>'Nov 2023'!S47+'dec 2023'!R47</f>
        <v>0</v>
      </c>
      <c r="T47" s="10">
        <f t="shared" si="2"/>
        <v>86.18</v>
      </c>
      <c r="U47" s="10">
        <f t="shared" si="3"/>
        <v>12398.370000000006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'Nov 2023'!H48</f>
        <v>11114.732000000007</v>
      </c>
      <c r="D48" s="9">
        <v>0.5</v>
      </c>
      <c r="E48" s="9">
        <f>'Nov 2023'!E48+'dec 2023'!D48</f>
        <v>8.02</v>
      </c>
      <c r="F48" s="9">
        <v>0</v>
      </c>
      <c r="G48" s="9">
        <f>'Nov 2023'!G48+'dec 2023'!F48</f>
        <v>0</v>
      </c>
      <c r="H48" s="9">
        <f t="shared" si="0"/>
        <v>11115.232000000007</v>
      </c>
      <c r="I48" s="9">
        <f>'Nov 2023'!N48</f>
        <v>0</v>
      </c>
      <c r="J48" s="9">
        <v>0</v>
      </c>
      <c r="K48" s="9">
        <f>'Nov 2023'!K48+'dec 2023'!J48</f>
        <v>0</v>
      </c>
      <c r="L48" s="9">
        <v>0</v>
      </c>
      <c r="M48" s="9">
        <f>'Nov 2023'!M48+'dec 2023'!L48</f>
        <v>0</v>
      </c>
      <c r="N48" s="9">
        <f t="shared" si="1"/>
        <v>0</v>
      </c>
      <c r="O48" s="10">
        <f>'Nov 2023'!T48</f>
        <v>30.53</v>
      </c>
      <c r="P48" s="9">
        <v>0</v>
      </c>
      <c r="Q48" s="9">
        <f>'Nov 2023'!Q48+'dec 2023'!P48</f>
        <v>0</v>
      </c>
      <c r="R48" s="9">
        <v>0</v>
      </c>
      <c r="S48" s="9">
        <f>'Nov 2023'!S48+'dec 2023'!R48</f>
        <v>0</v>
      </c>
      <c r="T48" s="10">
        <f t="shared" si="2"/>
        <v>30.53</v>
      </c>
      <c r="U48" s="10">
        <f t="shared" si="3"/>
        <v>11145.762000000008</v>
      </c>
      <c r="V48" s="75"/>
      <c r="W48" s="11"/>
    </row>
    <row r="49" spans="1:23" s="16" customFormat="1" ht="57.75" customHeight="1">
      <c r="A49" s="13"/>
      <c r="B49" s="14" t="s">
        <v>57</v>
      </c>
      <c r="C49" s="15">
        <f>'Nov 2023'!H49</f>
        <v>45138.452000000005</v>
      </c>
      <c r="D49" s="15">
        <f t="shared" ref="D49:U49" si="14">SUM(D45:D48)</f>
        <v>17.84</v>
      </c>
      <c r="E49" s="15">
        <f t="shared" si="14"/>
        <v>206.32</v>
      </c>
      <c r="F49" s="15">
        <f t="shared" si="14"/>
        <v>0</v>
      </c>
      <c r="G49" s="15">
        <f t="shared" si="14"/>
        <v>0</v>
      </c>
      <c r="H49" s="15">
        <f t="shared" si="14"/>
        <v>45156.292000000016</v>
      </c>
      <c r="I49" s="15">
        <f>'Nov 2023'!N49</f>
        <v>9.4600000000000009</v>
      </c>
      <c r="J49" s="15">
        <f t="shared" si="14"/>
        <v>0</v>
      </c>
      <c r="K49" s="15">
        <f t="shared" si="14"/>
        <v>1.49</v>
      </c>
      <c r="L49" s="15">
        <f t="shared" si="14"/>
        <v>0</v>
      </c>
      <c r="M49" s="15">
        <f t="shared" si="14"/>
        <v>0</v>
      </c>
      <c r="N49" s="15">
        <f t="shared" si="14"/>
        <v>9.4600000000000009</v>
      </c>
      <c r="O49" s="41">
        <f>'Nov 2023'!T49</f>
        <v>230.17000000000004</v>
      </c>
      <c r="P49" s="15">
        <f t="shared" si="14"/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  <c r="T49" s="15">
        <f t="shared" si="14"/>
        <v>230.17000000000004</v>
      </c>
      <c r="U49" s="15">
        <f t="shared" si="14"/>
        <v>45395.922000000013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'Nov 2023'!H50</f>
        <v>97869.893000000011</v>
      </c>
      <c r="D50" s="15">
        <f t="shared" ref="D50:U50" si="15">D49+D44</f>
        <v>185.54000000000002</v>
      </c>
      <c r="E50" s="15">
        <f t="shared" si="15"/>
        <v>1943.74</v>
      </c>
      <c r="F50" s="15">
        <f t="shared" si="15"/>
        <v>0.02</v>
      </c>
      <c r="G50" s="15">
        <f t="shared" si="15"/>
        <v>0.02</v>
      </c>
      <c r="H50" s="15">
        <f t="shared" si="15"/>
        <v>98055.413000000015</v>
      </c>
      <c r="I50" s="15">
        <f>'Nov 2023'!N50</f>
        <v>236.26000000000002</v>
      </c>
      <c r="J50" s="15">
        <f t="shared" si="15"/>
        <v>0</v>
      </c>
      <c r="K50" s="15">
        <f t="shared" si="15"/>
        <v>1.49</v>
      </c>
      <c r="L50" s="15">
        <f t="shared" si="15"/>
        <v>0</v>
      </c>
      <c r="M50" s="15">
        <f t="shared" si="15"/>
        <v>0</v>
      </c>
      <c r="N50" s="15">
        <f t="shared" si="15"/>
        <v>236.26000000000002</v>
      </c>
      <c r="O50" s="41">
        <f>'Nov 2023'!T50</f>
        <v>579.73000000000013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579.73000000000013</v>
      </c>
      <c r="U50" s="15">
        <f t="shared" si="15"/>
        <v>98871.40300000002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'Nov 2023'!H51</f>
        <v>181328.98700000002</v>
      </c>
      <c r="D51" s="15">
        <f t="shared" ref="D51:U51" si="16">D50+D39+D25</f>
        <v>1061.212</v>
      </c>
      <c r="E51" s="15">
        <f t="shared" si="16"/>
        <v>9783.9430000000011</v>
      </c>
      <c r="F51" s="15">
        <f t="shared" si="16"/>
        <v>0.02</v>
      </c>
      <c r="G51" s="15">
        <f t="shared" si="16"/>
        <v>136.05000000000001</v>
      </c>
      <c r="H51" s="37">
        <f t="shared" si="16"/>
        <v>182390.17900000003</v>
      </c>
      <c r="I51" s="15">
        <f>'Nov 2023'!N51</f>
        <v>2975.5720000000001</v>
      </c>
      <c r="J51" s="15">
        <f t="shared" si="16"/>
        <v>28.805</v>
      </c>
      <c r="K51" s="15">
        <f t="shared" si="16"/>
        <v>198.958</v>
      </c>
      <c r="L51" s="15">
        <f t="shared" si="16"/>
        <v>0</v>
      </c>
      <c r="M51" s="15">
        <f t="shared" si="16"/>
        <v>10.72</v>
      </c>
      <c r="N51" s="37">
        <f t="shared" si="16"/>
        <v>3004.3770000000004</v>
      </c>
      <c r="O51" s="41">
        <f>'Nov 2023'!T51</f>
        <v>10363.67</v>
      </c>
      <c r="P51" s="15">
        <f t="shared" si="16"/>
        <v>49.019999999999996</v>
      </c>
      <c r="Q51" s="15">
        <f t="shared" si="16"/>
        <v>1134.1459999999997</v>
      </c>
      <c r="R51" s="15">
        <f t="shared" si="16"/>
        <v>0</v>
      </c>
      <c r="S51" s="15">
        <f t="shared" si="16"/>
        <v>39.43</v>
      </c>
      <c r="T51" s="37">
        <f t="shared" si="16"/>
        <v>10412.689999999999</v>
      </c>
      <c r="U51" s="15">
        <f t="shared" si="16"/>
        <v>195807.24600000004</v>
      </c>
      <c r="V51" s="40"/>
      <c r="W51" s="40"/>
    </row>
    <row r="52" spans="1:23" s="21" customFormat="1" ht="42.75" hidden="1" customHeight="1">
      <c r="A52" s="18"/>
      <c r="B52" s="19"/>
      <c r="C52" s="9">
        <f>'Sept 2023'!H52</f>
        <v>0</v>
      </c>
      <c r="D52" s="20"/>
      <c r="E52" s="9">
        <f>'Sept 2023'!E52+'dec 2023'!D52</f>
        <v>0</v>
      </c>
      <c r="F52" s="20"/>
      <c r="G52" s="9">
        <f>'Sept 2023'!G52+'dec 2023'!F52</f>
        <v>0</v>
      </c>
      <c r="H52" s="9">
        <f t="shared" si="0"/>
        <v>0</v>
      </c>
      <c r="I52" s="9">
        <f>'Sept 2023'!N52</f>
        <v>0</v>
      </c>
      <c r="J52" s="20"/>
      <c r="K52" s="9">
        <f>'Sept 2023'!K52+'dec 2023'!J52</f>
        <v>0</v>
      </c>
      <c r="L52" s="20"/>
      <c r="M52" s="9"/>
      <c r="N52" s="20"/>
      <c r="O52" s="10">
        <f>'Nov 2023'!T52</f>
        <v>0</v>
      </c>
      <c r="P52" s="20"/>
      <c r="Q52" s="9">
        <f>'Sept 2023'!Q52+'dec 2023'!P52</f>
        <v>0</v>
      </c>
      <c r="R52" s="20"/>
      <c r="S52" s="9">
        <f>'Sept 2023'!S52+'dec 2023'!R52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'Sept 2023'!H53</f>
        <v>0</v>
      </c>
      <c r="D53" s="20"/>
      <c r="E53" s="9">
        <f>'Sept 2023'!E53+'dec 2023'!D53</f>
        <v>0</v>
      </c>
      <c r="F53" s="20"/>
      <c r="G53" s="9">
        <f>'Sept 2023'!G53+'dec 2023'!F53</f>
        <v>0</v>
      </c>
      <c r="H53" s="9">
        <f t="shared" si="0"/>
        <v>0</v>
      </c>
      <c r="I53" s="9">
        <f>'Sept 2023'!N53</f>
        <v>0</v>
      </c>
      <c r="J53" s="20"/>
      <c r="K53" s="9">
        <f>'Sept 2023'!K53+'dec 2023'!J53</f>
        <v>0</v>
      </c>
      <c r="L53" s="20"/>
      <c r="M53" s="9"/>
      <c r="N53" s="20"/>
      <c r="O53" s="10">
        <f>'Nov 2023'!T53</f>
        <v>0</v>
      </c>
      <c r="P53" s="22"/>
      <c r="Q53" s="9">
        <f>'Sept 2023'!Q53+'dec 2023'!P53</f>
        <v>0</v>
      </c>
      <c r="R53" s="20"/>
      <c r="S53" s="9">
        <f>'Sept 2023'!S53+'dec 2023'!R53</f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9"/>
      <c r="L54" s="20"/>
      <c r="M54" s="22"/>
      <c r="N54" s="20"/>
      <c r="O54" s="20"/>
      <c r="P54" s="22"/>
      <c r="Q54" s="24"/>
      <c r="R54" s="20"/>
      <c r="S54" s="22"/>
      <c r="T54" s="23"/>
      <c r="U54" s="20"/>
      <c r="V54" s="20"/>
      <c r="W54" s="20"/>
    </row>
    <row r="55" spans="1:23" s="43" customFormat="1" ht="30">
      <c r="A55" s="76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1139.0170000000001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10930.847000000003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195807.24600000004</v>
      </c>
      <c r="I58" s="30"/>
      <c r="J58" s="30"/>
      <c r="K58" s="30"/>
      <c r="L58" s="31"/>
      <c r="M58" s="31"/>
      <c r="N58" s="32" t="e">
        <f>#REF!+'dec 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#REF!+'dec 2023'!H56</f>
        <v>#REF!</v>
      </c>
      <c r="K59" s="30"/>
      <c r="L59" s="35" t="e">
        <f>#REF!+'dec 2023'!H56</f>
        <v>#REF!</v>
      </c>
      <c r="M59" s="30"/>
      <c r="O59" s="11"/>
    </row>
    <row r="60" spans="1:23">
      <c r="B60" s="2"/>
      <c r="G60" s="36"/>
      <c r="O60" s="2"/>
      <c r="U60" s="2"/>
      <c r="V60" s="2"/>
      <c r="W60" s="2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D56:G56"/>
    <mergeCell ref="D57:G57"/>
    <mergeCell ref="D58:G58"/>
    <mergeCell ref="P5:Q5"/>
    <mergeCell ref="R5:S5"/>
    <mergeCell ref="A55:K5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3"/>
  <sheetViews>
    <sheetView topLeftCell="G1" zoomScale="30" zoomScaleNormal="30" zoomScaleSheetLayoutView="25" workbookViewId="0">
      <selection activeCell="W19" sqref="W19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54" customWidth="1"/>
    <col min="5" max="5" width="40.28515625" style="2" customWidth="1"/>
    <col min="6" max="6" width="32.42578125" style="54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54" customWidth="1"/>
    <col min="11" max="11" width="28.140625" style="2" customWidth="1"/>
    <col min="12" max="12" width="36.7109375" style="54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54" customWidth="1"/>
    <col min="17" max="17" width="34.5703125" style="2" customWidth="1"/>
    <col min="18" max="18" width="36" style="54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74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50" t="s">
        <v>12</v>
      </c>
      <c r="E6" s="38" t="s">
        <v>13</v>
      </c>
      <c r="F6" s="50" t="s">
        <v>12</v>
      </c>
      <c r="G6" s="38" t="s">
        <v>13</v>
      </c>
      <c r="H6" s="72"/>
      <c r="I6" s="72"/>
      <c r="J6" s="58" t="s">
        <v>12</v>
      </c>
      <c r="K6" s="38" t="s">
        <v>13</v>
      </c>
      <c r="L6" s="50" t="s">
        <v>12</v>
      </c>
      <c r="M6" s="38" t="s">
        <v>13</v>
      </c>
      <c r="N6" s="72"/>
      <c r="O6" s="72"/>
      <c r="P6" s="50" t="s">
        <v>12</v>
      </c>
      <c r="Q6" s="38" t="s">
        <v>13</v>
      </c>
      <c r="R6" s="50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'dec 2023'!H7</f>
        <v>83.970000000000653</v>
      </c>
      <c r="D7" s="51">
        <v>0</v>
      </c>
      <c r="E7" s="9">
        <f>'dec 2023'!E7+'Jan 2024'!D7</f>
        <v>0</v>
      </c>
      <c r="F7" s="51">
        <v>0</v>
      </c>
      <c r="G7" s="9">
        <f>'dec 2023'!G7+'Jan 2024'!F7</f>
        <v>0</v>
      </c>
      <c r="H7" s="9">
        <f>C7+D7-F7</f>
        <v>83.970000000000653</v>
      </c>
      <c r="I7" s="9">
        <f>'dec 2023'!N7</f>
        <v>210.46099999999998</v>
      </c>
      <c r="J7" s="51">
        <v>0.41</v>
      </c>
      <c r="K7" s="9">
        <f>'dec 2023'!K7+'Jan 2024'!J7</f>
        <v>36.000000000000007</v>
      </c>
      <c r="L7" s="51">
        <v>0</v>
      </c>
      <c r="M7" s="9">
        <f>'dec 2023'!M7+'Jan 2024'!L7</f>
        <v>0</v>
      </c>
      <c r="N7" s="9">
        <f>I7+J7-L7</f>
        <v>210.87099999999998</v>
      </c>
      <c r="O7" s="10">
        <f>'dec 2023'!T7</f>
        <v>264.90000000000009</v>
      </c>
      <c r="P7" s="51">
        <v>0</v>
      </c>
      <c r="Q7" s="9">
        <f>'dec 2023'!Q7+'Jan 2024'!P7</f>
        <v>0</v>
      </c>
      <c r="R7" s="51">
        <v>0</v>
      </c>
      <c r="S7" s="9">
        <f>'dec 2023'!S7+'Jan 2024'!R7</f>
        <v>19.239999999999998</v>
      </c>
      <c r="T7" s="10">
        <f>O7+P7-R7</f>
        <v>264.90000000000009</v>
      </c>
      <c r="U7" s="10">
        <f>H7+N7+T7</f>
        <v>559.74100000000067</v>
      </c>
      <c r="V7" s="11"/>
      <c r="W7" s="11"/>
    </row>
    <row r="8" spans="1:183" ht="42.75" customHeight="1">
      <c r="A8" s="7">
        <v>2</v>
      </c>
      <c r="B8" s="8" t="s">
        <v>15</v>
      </c>
      <c r="C8" s="9">
        <f>'dec 2023'!H8</f>
        <v>499.38499999999976</v>
      </c>
      <c r="D8" s="51">
        <v>0.06</v>
      </c>
      <c r="E8" s="9">
        <f>'dec 2023'!E8+'Jan 2024'!D8</f>
        <v>1.8300000000000003</v>
      </c>
      <c r="F8" s="51">
        <v>0</v>
      </c>
      <c r="G8" s="9">
        <f>'dec 2023'!G8+'Jan 2024'!F8</f>
        <v>0</v>
      </c>
      <c r="H8" s="9">
        <f t="shared" ref="H8:H53" si="0">C8+D8-F8</f>
        <v>499.44499999999977</v>
      </c>
      <c r="I8" s="9">
        <f>'dec 2023'!N8</f>
        <v>160.631</v>
      </c>
      <c r="J8" s="51">
        <v>1.59</v>
      </c>
      <c r="K8" s="9">
        <f>'dec 2023'!K8+'Jan 2024'!J8</f>
        <v>19.315000000000001</v>
      </c>
      <c r="L8" s="51">
        <v>0</v>
      </c>
      <c r="M8" s="9">
        <f>'dec 2023'!M8+'Jan 2024'!L8</f>
        <v>0</v>
      </c>
      <c r="N8" s="9">
        <f t="shared" ref="N8:N48" si="1">I8+J8-L8</f>
        <v>162.221</v>
      </c>
      <c r="O8" s="10">
        <f>'dec 2023'!T8</f>
        <v>222.27000000000004</v>
      </c>
      <c r="P8" s="51">
        <v>0</v>
      </c>
      <c r="Q8" s="9">
        <f>'dec 2023'!Q8+'Jan 2024'!P8</f>
        <v>0</v>
      </c>
      <c r="R8" s="51">
        <v>0</v>
      </c>
      <c r="S8" s="9">
        <f>'dec 2023'!S8+'Jan 2024'!R8</f>
        <v>0</v>
      </c>
      <c r="T8" s="10">
        <f t="shared" ref="T8:T48" si="2">O8+P8-R8</f>
        <v>222.27000000000004</v>
      </c>
      <c r="U8" s="10">
        <f>H8+N8+T8</f>
        <v>883.93599999999969</v>
      </c>
      <c r="V8" s="11"/>
      <c r="W8" s="11"/>
    </row>
    <row r="9" spans="1:183" ht="42.75" customHeight="1">
      <c r="A9" s="7">
        <v>3</v>
      </c>
      <c r="B9" s="8" t="s">
        <v>16</v>
      </c>
      <c r="C9" s="9">
        <f>'dec 2023'!H9</f>
        <v>653.9599999999997</v>
      </c>
      <c r="D9" s="51">
        <v>0</v>
      </c>
      <c r="E9" s="9">
        <f>'dec 2023'!E9+'Jan 2024'!D9</f>
        <v>0</v>
      </c>
      <c r="F9" s="51">
        <v>0</v>
      </c>
      <c r="G9" s="9">
        <f>'dec 2023'!G9+'Jan 2024'!F9</f>
        <v>0</v>
      </c>
      <c r="H9" s="9">
        <f t="shared" si="0"/>
        <v>653.9599999999997</v>
      </c>
      <c r="I9" s="9">
        <f>'dec 2023'!N9</f>
        <v>237.23600000000002</v>
      </c>
      <c r="J9" s="51">
        <v>1.77</v>
      </c>
      <c r="K9" s="9">
        <f>'dec 2023'!K9+'Jan 2024'!J9</f>
        <v>23.499999999999996</v>
      </c>
      <c r="L9" s="51">
        <v>0</v>
      </c>
      <c r="M9" s="9">
        <f>'dec 2023'!M9+'Jan 2024'!L9</f>
        <v>0</v>
      </c>
      <c r="N9" s="9">
        <f t="shared" si="1"/>
        <v>239.00600000000003</v>
      </c>
      <c r="O9" s="10">
        <f>'dec 2023'!T9</f>
        <v>773.96999999999969</v>
      </c>
      <c r="P9" s="51">
        <v>37.799999999999997</v>
      </c>
      <c r="Q9" s="9">
        <f>'dec 2023'!Q9+'Jan 2024'!P9</f>
        <v>545.17999999999995</v>
      </c>
      <c r="R9" s="51">
        <v>0</v>
      </c>
      <c r="S9" s="9">
        <f>'dec 2023'!S9+'Jan 2024'!R9</f>
        <v>0</v>
      </c>
      <c r="T9" s="10">
        <f>O9+P9-R9</f>
        <v>811.76999999999964</v>
      </c>
      <c r="U9" s="10">
        <f>H9+N9+T9</f>
        <v>1704.7359999999994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'dec 2023'!H10</f>
        <v>0</v>
      </c>
      <c r="D10" s="51">
        <v>0</v>
      </c>
      <c r="E10" s="9">
        <f>'dec 2023'!E10+'Jan 2024'!D10</f>
        <v>0</v>
      </c>
      <c r="F10" s="51">
        <v>0</v>
      </c>
      <c r="G10" s="9">
        <f>'dec 2023'!G10+'Jan 2024'!F10</f>
        <v>0</v>
      </c>
      <c r="H10" s="9">
        <f t="shared" si="0"/>
        <v>0</v>
      </c>
      <c r="I10" s="9">
        <f>'dec 2023'!N10</f>
        <v>148.10200000000006</v>
      </c>
      <c r="J10" s="51">
        <v>0.38</v>
      </c>
      <c r="K10" s="9">
        <f>'dec 2023'!K10+'Jan 2024'!J10</f>
        <v>1.2570000000000001</v>
      </c>
      <c r="L10" s="51">
        <v>0</v>
      </c>
      <c r="M10" s="9">
        <f>'dec 2023'!M10+'Jan 2024'!L10</f>
        <v>0</v>
      </c>
      <c r="N10" s="9">
        <f t="shared" si="1"/>
        <v>148.48200000000006</v>
      </c>
      <c r="O10" s="10">
        <f>'dec 2023'!T10</f>
        <v>234.27999999999997</v>
      </c>
      <c r="P10" s="51">
        <v>0</v>
      </c>
      <c r="Q10" s="9">
        <f>'dec 2023'!Q10+'Jan 2024'!P10</f>
        <v>0</v>
      </c>
      <c r="R10" s="51">
        <v>0</v>
      </c>
      <c r="S10" s="9">
        <f>'dec 2023'!S10+'Jan 2024'!R10</f>
        <v>0</v>
      </c>
      <c r="T10" s="10">
        <f t="shared" si="2"/>
        <v>234.27999999999997</v>
      </c>
      <c r="U10" s="10">
        <f>H10+N10+T10</f>
        <v>382.76200000000006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'dec 2023'!H11</f>
        <v>1237.3150000000001</v>
      </c>
      <c r="D11" s="37">
        <f t="shared" ref="D11:U11" si="3">SUM(D7:D10)</f>
        <v>0.06</v>
      </c>
      <c r="E11" s="15">
        <f t="shared" si="3"/>
        <v>1.8300000000000003</v>
      </c>
      <c r="F11" s="37">
        <f t="shared" si="3"/>
        <v>0</v>
      </c>
      <c r="G11" s="15">
        <f t="shared" si="3"/>
        <v>0</v>
      </c>
      <c r="H11" s="15">
        <f t="shared" si="3"/>
        <v>1237.375</v>
      </c>
      <c r="I11" s="15">
        <f>'dec 2023'!N11</f>
        <v>756.43000000000006</v>
      </c>
      <c r="J11" s="37">
        <f t="shared" si="3"/>
        <v>4.1500000000000004</v>
      </c>
      <c r="K11" s="15">
        <f t="shared" si="3"/>
        <v>80.072000000000017</v>
      </c>
      <c r="L11" s="37">
        <f t="shared" si="3"/>
        <v>0</v>
      </c>
      <c r="M11" s="15">
        <f t="shared" si="3"/>
        <v>0</v>
      </c>
      <c r="N11" s="15">
        <f t="shared" si="3"/>
        <v>760.58</v>
      </c>
      <c r="O11" s="41">
        <f>'dec 2023'!T11</f>
        <v>1495.4199999999998</v>
      </c>
      <c r="P11" s="37">
        <f t="shared" si="3"/>
        <v>37.799999999999997</v>
      </c>
      <c r="Q11" s="15">
        <f t="shared" si="3"/>
        <v>545.17999999999995</v>
      </c>
      <c r="R11" s="37">
        <f t="shared" si="3"/>
        <v>0</v>
      </c>
      <c r="S11" s="15">
        <f t="shared" si="3"/>
        <v>19.239999999999998</v>
      </c>
      <c r="T11" s="15">
        <f t="shared" si="3"/>
        <v>1533.2199999999998</v>
      </c>
      <c r="U11" s="15">
        <f t="shared" si="3"/>
        <v>3531.1749999999997</v>
      </c>
      <c r="V11" s="49"/>
      <c r="W11" s="49"/>
    </row>
    <row r="12" spans="1:183" ht="42.75" customHeight="1">
      <c r="A12" s="7">
        <v>5</v>
      </c>
      <c r="B12" s="8" t="s">
        <v>19</v>
      </c>
      <c r="C12" s="9">
        <f>'dec 2023'!H12</f>
        <v>211.68999999999886</v>
      </c>
      <c r="D12" s="51">
        <v>0</v>
      </c>
      <c r="E12" s="9">
        <f>'dec 2023'!E12+'Jan 2024'!D12</f>
        <v>0</v>
      </c>
      <c r="F12" s="51">
        <v>0</v>
      </c>
      <c r="G12" s="9">
        <f>'dec 2023'!G12+'Jan 2024'!F12</f>
        <v>7.2</v>
      </c>
      <c r="H12" s="9">
        <f t="shared" si="0"/>
        <v>211.68999999999886</v>
      </c>
      <c r="I12" s="9">
        <f>'dec 2023'!N12</f>
        <v>94.452999999999989</v>
      </c>
      <c r="J12" s="51">
        <v>0.26</v>
      </c>
      <c r="K12" s="9">
        <f>'dec 2023'!K12+'Jan 2024'!J12</f>
        <v>4.83</v>
      </c>
      <c r="L12" s="51">
        <v>0</v>
      </c>
      <c r="M12" s="9">
        <f>'dec 2023'!M12+'Jan 2024'!L12</f>
        <v>0</v>
      </c>
      <c r="N12" s="9">
        <f t="shared" si="1"/>
        <v>94.712999999999994</v>
      </c>
      <c r="O12" s="10">
        <f>'dec 2023'!T12</f>
        <v>1570.1399999999999</v>
      </c>
      <c r="P12" s="51">
        <v>0</v>
      </c>
      <c r="Q12" s="9">
        <f>'dec 2023'!Q12+'Jan 2024'!P12</f>
        <v>22.12</v>
      </c>
      <c r="R12" s="51">
        <v>0</v>
      </c>
      <c r="S12" s="9">
        <f>'dec 2023'!S12+'Jan 2024'!R12</f>
        <v>0</v>
      </c>
      <c r="T12" s="10">
        <f t="shared" si="2"/>
        <v>1570.1399999999999</v>
      </c>
      <c r="U12" s="10">
        <f>H12+N12+T12</f>
        <v>1876.5429999999988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'dec 2023'!H13</f>
        <v>1023.7699999999998</v>
      </c>
      <c r="D13" s="51">
        <v>0</v>
      </c>
      <c r="E13" s="9">
        <f>'dec 2023'!E13+'Jan 2024'!D13</f>
        <v>0</v>
      </c>
      <c r="F13" s="51">
        <v>0</v>
      </c>
      <c r="G13" s="9">
        <f>'dec 2023'!G13+'Jan 2024'!F13</f>
        <v>0</v>
      </c>
      <c r="H13" s="9">
        <f t="shared" si="0"/>
        <v>1023.7699999999998</v>
      </c>
      <c r="I13" s="9">
        <f>'dec 2023'!N13</f>
        <v>164.44400000000007</v>
      </c>
      <c r="J13" s="51">
        <v>0.98</v>
      </c>
      <c r="K13" s="9">
        <f>'dec 2023'!K13+'Jan 2024'!J13</f>
        <v>8.4799999999999986</v>
      </c>
      <c r="L13" s="51">
        <v>0</v>
      </c>
      <c r="M13" s="9">
        <f>'dec 2023'!M13+'Jan 2024'!L13</f>
        <v>0.72</v>
      </c>
      <c r="N13" s="9">
        <f t="shared" si="1"/>
        <v>165.42400000000006</v>
      </c>
      <c r="O13" s="10">
        <f>'dec 2023'!T13</f>
        <v>87.23</v>
      </c>
      <c r="P13" s="51">
        <v>0</v>
      </c>
      <c r="Q13" s="9">
        <f>'dec 2023'!Q13+'Jan 2024'!P13</f>
        <v>0.03</v>
      </c>
      <c r="R13" s="51">
        <v>0</v>
      </c>
      <c r="S13" s="9">
        <f>'dec 2023'!S13+'Jan 2024'!R13</f>
        <v>0</v>
      </c>
      <c r="T13" s="10">
        <f t="shared" si="2"/>
        <v>87.23</v>
      </c>
      <c r="U13" s="10">
        <f>H13+N13+T13</f>
        <v>1276.4239999999998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'dec 2023'!H14</f>
        <v>2075.7999999999993</v>
      </c>
      <c r="D14" s="51">
        <v>0</v>
      </c>
      <c r="E14" s="9">
        <f>'dec 2023'!E14+'Jan 2024'!D14</f>
        <v>0</v>
      </c>
      <c r="F14" s="51">
        <v>0</v>
      </c>
      <c r="G14" s="9">
        <f>'dec 2023'!G14+'Jan 2024'!F14</f>
        <v>8.7799999999999994</v>
      </c>
      <c r="H14" s="9">
        <f t="shared" si="0"/>
        <v>2075.7999999999993</v>
      </c>
      <c r="I14" s="9">
        <f>'dec 2023'!N14</f>
        <v>212.54400000000001</v>
      </c>
      <c r="J14" s="51">
        <v>1.1499999999999999</v>
      </c>
      <c r="K14" s="9">
        <f>'dec 2023'!K14+'Jan 2024'!J14</f>
        <v>12.84</v>
      </c>
      <c r="L14" s="51">
        <v>0</v>
      </c>
      <c r="M14" s="9">
        <f>'dec 2023'!M14+'Jan 2024'!L14</f>
        <v>8.2799999999999994</v>
      </c>
      <c r="N14" s="9">
        <f t="shared" si="1"/>
        <v>213.69400000000002</v>
      </c>
      <c r="O14" s="10">
        <f>'dec 2023'!T14</f>
        <v>412.96999999999991</v>
      </c>
      <c r="P14" s="51">
        <v>0</v>
      </c>
      <c r="Q14" s="9">
        <f>'dec 2023'!Q14+'Jan 2024'!P14</f>
        <v>9.39</v>
      </c>
      <c r="R14" s="51">
        <v>0</v>
      </c>
      <c r="S14" s="9">
        <f>'dec 2023'!S14+'Jan 2024'!R14</f>
        <v>0</v>
      </c>
      <c r="T14" s="10">
        <f t="shared" si="2"/>
        <v>412.96999999999991</v>
      </c>
      <c r="U14" s="10">
        <f>H14+N14+T14</f>
        <v>2702.463999999999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'dec 2023'!H15</f>
        <v>3311.2599999999979</v>
      </c>
      <c r="D15" s="37">
        <f t="shared" ref="D15:U15" si="4">SUM(D12:D14)</f>
        <v>0</v>
      </c>
      <c r="E15" s="15">
        <f t="shared" si="4"/>
        <v>0</v>
      </c>
      <c r="F15" s="37">
        <f t="shared" si="4"/>
        <v>0</v>
      </c>
      <c r="G15" s="15">
        <f t="shared" si="4"/>
        <v>15.98</v>
      </c>
      <c r="H15" s="15">
        <f t="shared" si="4"/>
        <v>3311.2599999999979</v>
      </c>
      <c r="I15" s="15">
        <f>'dec 2023'!N15</f>
        <v>471.44100000000003</v>
      </c>
      <c r="J15" s="37">
        <f t="shared" si="4"/>
        <v>2.3899999999999997</v>
      </c>
      <c r="K15" s="15">
        <f t="shared" si="4"/>
        <v>26.15</v>
      </c>
      <c r="L15" s="37">
        <f t="shared" si="4"/>
        <v>0</v>
      </c>
      <c r="M15" s="15">
        <f t="shared" si="4"/>
        <v>9</v>
      </c>
      <c r="N15" s="15">
        <f t="shared" si="4"/>
        <v>473.83100000000007</v>
      </c>
      <c r="O15" s="41">
        <f>'dec 2023'!T15</f>
        <v>2070.3399999999997</v>
      </c>
      <c r="P15" s="37">
        <f t="shared" si="4"/>
        <v>0</v>
      </c>
      <c r="Q15" s="15">
        <f t="shared" si="4"/>
        <v>31.540000000000003</v>
      </c>
      <c r="R15" s="37">
        <f t="shared" si="4"/>
        <v>0</v>
      </c>
      <c r="S15" s="15">
        <f t="shared" si="4"/>
        <v>0</v>
      </c>
      <c r="T15" s="15">
        <f t="shared" si="4"/>
        <v>2070.3399999999997</v>
      </c>
      <c r="U15" s="15">
        <f t="shared" si="4"/>
        <v>5855.4309999999978</v>
      </c>
      <c r="V15" s="49"/>
      <c r="W15" s="49"/>
    </row>
    <row r="16" spans="1:183" ht="42.75" customHeight="1">
      <c r="A16" s="7">
        <v>8</v>
      </c>
      <c r="B16" s="8" t="s">
        <v>24</v>
      </c>
      <c r="C16" s="9">
        <f>'dec 2023'!H16</f>
        <v>1323.2419999999993</v>
      </c>
      <c r="D16" s="51">
        <v>0.38</v>
      </c>
      <c r="E16" s="9">
        <f>'dec 2023'!E16+'Jan 2024'!D16</f>
        <v>16.29</v>
      </c>
      <c r="F16" s="51">
        <v>5.6</v>
      </c>
      <c r="G16" s="9">
        <f>'dec 2023'!G16+'Jan 2024'!F16</f>
        <v>5.6</v>
      </c>
      <c r="H16" s="9">
        <f t="shared" si="0"/>
        <v>1318.0219999999995</v>
      </c>
      <c r="I16" s="9">
        <f>'dec 2023'!N16</f>
        <v>120.26000000000005</v>
      </c>
      <c r="J16" s="51">
        <v>0.34</v>
      </c>
      <c r="K16" s="9">
        <f>'dec 2023'!K16+'Jan 2024'!J16</f>
        <v>6.63</v>
      </c>
      <c r="L16" s="51">
        <v>0</v>
      </c>
      <c r="M16" s="9">
        <f>'dec 2023'!M16+'Jan 2024'!L16</f>
        <v>0</v>
      </c>
      <c r="N16" s="9">
        <f t="shared" si="1"/>
        <v>120.60000000000005</v>
      </c>
      <c r="O16" s="10">
        <f>'dec 2023'!T16</f>
        <v>974.36900000000014</v>
      </c>
      <c r="P16" s="51">
        <v>6.54</v>
      </c>
      <c r="Q16" s="9">
        <f>'dec 2023'!Q16+'Jan 2024'!P16</f>
        <v>105.66</v>
      </c>
      <c r="R16" s="51">
        <v>0</v>
      </c>
      <c r="S16" s="9">
        <f>'dec 2023'!S16+'Jan 2024'!R16</f>
        <v>0</v>
      </c>
      <c r="T16" s="9">
        <f t="shared" si="2"/>
        <v>980.90900000000011</v>
      </c>
      <c r="U16" s="10">
        <f>H16+N16+T16</f>
        <v>2419.5309999999999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'dec 2023'!H17</f>
        <v>236.65399999999988</v>
      </c>
      <c r="D17" s="51">
        <v>0</v>
      </c>
      <c r="E17" s="9">
        <f>'dec 2023'!E17+'Jan 2024'!D17</f>
        <v>0</v>
      </c>
      <c r="F17" s="51">
        <v>0</v>
      </c>
      <c r="G17" s="9">
        <f>'dec 2023'!G17+'Jan 2024'!F17</f>
        <v>2.7</v>
      </c>
      <c r="H17" s="9">
        <f t="shared" si="0"/>
        <v>236.65399999999988</v>
      </c>
      <c r="I17" s="9">
        <f>'dec 2023'!N17</f>
        <v>31.486999999999995</v>
      </c>
      <c r="J17" s="51">
        <v>7.0000000000000007E-2</v>
      </c>
      <c r="K17" s="9">
        <f>'dec 2023'!K17+'Jan 2024'!J17</f>
        <v>1.86</v>
      </c>
      <c r="L17" s="51">
        <v>0</v>
      </c>
      <c r="M17" s="9">
        <f>'dec 2023'!M17+'Jan 2024'!L17</f>
        <v>0</v>
      </c>
      <c r="N17" s="9">
        <f t="shared" si="1"/>
        <v>31.556999999999995</v>
      </c>
      <c r="O17" s="10">
        <f>'dec 2023'!T17</f>
        <v>501.90100000000001</v>
      </c>
      <c r="P17" s="51">
        <v>0</v>
      </c>
      <c r="Q17" s="9">
        <f>'dec 2023'!Q17+'Jan 2024'!P17</f>
        <v>87.36</v>
      </c>
      <c r="R17" s="51">
        <v>0</v>
      </c>
      <c r="S17" s="9">
        <f>'dec 2023'!S17+'Jan 2024'!R17</f>
        <v>0</v>
      </c>
      <c r="T17" s="9">
        <f t="shared" si="2"/>
        <v>501.90100000000001</v>
      </c>
      <c r="U17" s="10">
        <f>H17+N17+T17</f>
        <v>770.11199999999985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'dec 2023'!H18</f>
        <v>478.13499999999931</v>
      </c>
      <c r="D18" s="51">
        <v>0</v>
      </c>
      <c r="E18" s="9">
        <f>'dec 2023'!E18+'Jan 2024'!D18</f>
        <v>0</v>
      </c>
      <c r="F18" s="51">
        <v>0</v>
      </c>
      <c r="G18" s="9">
        <f>'dec 2023'!G18+'Jan 2024'!F18</f>
        <v>0</v>
      </c>
      <c r="H18" s="9">
        <f t="shared" si="0"/>
        <v>478.13499999999931</v>
      </c>
      <c r="I18" s="9">
        <f>'dec 2023'!N18</f>
        <v>17.13999999999999</v>
      </c>
      <c r="J18" s="51">
        <v>0.03</v>
      </c>
      <c r="K18" s="9">
        <f>'dec 2023'!K18+'Jan 2024'!J18</f>
        <v>3.4899999999999998</v>
      </c>
      <c r="L18" s="51">
        <v>0</v>
      </c>
      <c r="M18" s="9">
        <f>'dec 2023'!M18+'Jan 2024'!L18</f>
        <v>1.46</v>
      </c>
      <c r="N18" s="9">
        <f t="shared" si="1"/>
        <v>17.169999999999991</v>
      </c>
      <c r="O18" s="10">
        <f>'dec 2023'!T18</f>
        <v>481.20799999999997</v>
      </c>
      <c r="P18" s="51">
        <v>0</v>
      </c>
      <c r="Q18" s="9">
        <f>'dec 2023'!Q18+'Jan 2024'!P18</f>
        <v>1.07</v>
      </c>
      <c r="R18" s="51">
        <v>0</v>
      </c>
      <c r="S18" s="9">
        <f>'dec 2023'!S18+'Jan 2024'!R18</f>
        <v>0.7</v>
      </c>
      <c r="T18" s="9">
        <f t="shared" si="2"/>
        <v>481.20799999999997</v>
      </c>
      <c r="U18" s="10">
        <f>H18+N18+T18</f>
        <v>976.51299999999924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'dec 2023'!H19</f>
        <v>2038.0309999999986</v>
      </c>
      <c r="D19" s="37">
        <f t="shared" ref="D19:U19" si="5">SUM(D16:D18)</f>
        <v>0.38</v>
      </c>
      <c r="E19" s="15">
        <f t="shared" si="5"/>
        <v>16.29</v>
      </c>
      <c r="F19" s="37">
        <f t="shared" si="5"/>
        <v>5.6</v>
      </c>
      <c r="G19" s="15">
        <f t="shared" si="5"/>
        <v>8.3000000000000007</v>
      </c>
      <c r="H19" s="15">
        <f t="shared" si="5"/>
        <v>2032.8109999999988</v>
      </c>
      <c r="I19" s="15">
        <f>'dec 2023'!N19</f>
        <v>168.88700000000003</v>
      </c>
      <c r="J19" s="37">
        <f t="shared" si="5"/>
        <v>0.44000000000000006</v>
      </c>
      <c r="K19" s="15">
        <f t="shared" si="5"/>
        <v>11.98</v>
      </c>
      <c r="L19" s="37">
        <f t="shared" si="5"/>
        <v>0</v>
      </c>
      <c r="M19" s="15">
        <f t="shared" si="5"/>
        <v>1.46</v>
      </c>
      <c r="N19" s="15">
        <f t="shared" si="5"/>
        <v>169.32700000000003</v>
      </c>
      <c r="O19" s="41">
        <f>'dec 2023'!T19</f>
        <v>1957.4780000000001</v>
      </c>
      <c r="P19" s="37">
        <f t="shared" si="5"/>
        <v>6.54</v>
      </c>
      <c r="Q19" s="15">
        <f t="shared" si="5"/>
        <v>194.08999999999997</v>
      </c>
      <c r="R19" s="37">
        <f t="shared" si="5"/>
        <v>0</v>
      </c>
      <c r="S19" s="15">
        <f t="shared" si="5"/>
        <v>0.7</v>
      </c>
      <c r="T19" s="15">
        <f t="shared" si="5"/>
        <v>1964.018</v>
      </c>
      <c r="U19" s="15">
        <f t="shared" si="5"/>
        <v>4166.155999999999</v>
      </c>
      <c r="V19" s="49"/>
      <c r="W19" s="49"/>
    </row>
    <row r="20" spans="1:23" ht="42.75" customHeight="1">
      <c r="A20" s="7">
        <v>11</v>
      </c>
      <c r="B20" s="8" t="s">
        <v>28</v>
      </c>
      <c r="C20" s="9">
        <f>'dec 2023'!H20</f>
        <v>1024.4549999999992</v>
      </c>
      <c r="D20" s="51">
        <v>0</v>
      </c>
      <c r="E20" s="9">
        <f>'dec 2023'!E20+'Jan 2024'!D20</f>
        <v>0</v>
      </c>
      <c r="F20" s="51">
        <v>0</v>
      </c>
      <c r="G20" s="9">
        <f>'dec 2023'!G20+'Jan 2024'!F20</f>
        <v>0</v>
      </c>
      <c r="H20" s="9">
        <f t="shared" si="0"/>
        <v>1024.4549999999992</v>
      </c>
      <c r="I20" s="9">
        <f>'dec 2023'!N20</f>
        <v>157.55100000000013</v>
      </c>
      <c r="J20" s="51">
        <v>0.33</v>
      </c>
      <c r="K20" s="9">
        <f>'dec 2023'!K20+'Jan 2024'!J20</f>
        <v>2.64</v>
      </c>
      <c r="L20" s="51">
        <v>0</v>
      </c>
      <c r="M20" s="9">
        <f>'dec 2023'!M20+'Jan 2024'!L20</f>
        <v>0</v>
      </c>
      <c r="N20" s="9">
        <f t="shared" si="1"/>
        <v>157.88100000000014</v>
      </c>
      <c r="O20" s="10">
        <f>'dec 2023'!T20</f>
        <v>744.89099999999985</v>
      </c>
      <c r="P20" s="51">
        <v>0.83</v>
      </c>
      <c r="Q20" s="9">
        <f>'dec 2023'!Q20+'Jan 2024'!P20</f>
        <v>3</v>
      </c>
      <c r="R20" s="51">
        <v>0</v>
      </c>
      <c r="S20" s="9">
        <f>'dec 2023'!S20+'Jan 2024'!R20</f>
        <v>0</v>
      </c>
      <c r="T20" s="10">
        <f t="shared" si="2"/>
        <v>745.72099999999989</v>
      </c>
      <c r="U20" s="10">
        <f>H20+N20+T20</f>
        <v>1928.0569999999993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'dec 2023'!H21</f>
        <v>52.019999999999882</v>
      </c>
      <c r="D21" s="51">
        <v>0</v>
      </c>
      <c r="E21" s="9">
        <f>'dec 2023'!E21+'Jan 2024'!D21</f>
        <v>0</v>
      </c>
      <c r="F21" s="51">
        <v>0</v>
      </c>
      <c r="G21" s="9">
        <f>'dec 2023'!G21+'Jan 2024'!F21</f>
        <v>90.67</v>
      </c>
      <c r="H21" s="9">
        <f t="shared" si="0"/>
        <v>52.019999999999882</v>
      </c>
      <c r="I21" s="9">
        <f>'dec 2023'!N21</f>
        <v>56.453000000000017</v>
      </c>
      <c r="J21" s="51">
        <v>0</v>
      </c>
      <c r="K21" s="9">
        <f>'dec 2023'!K21+'Jan 2024'!J21</f>
        <v>3.6700000000000004</v>
      </c>
      <c r="L21" s="51">
        <v>0</v>
      </c>
      <c r="M21" s="9">
        <f>'dec 2023'!M21+'Jan 2024'!L21</f>
        <v>0</v>
      </c>
      <c r="N21" s="9">
        <f t="shared" si="1"/>
        <v>56.453000000000017</v>
      </c>
      <c r="O21" s="10">
        <f>'dec 2023'!T21</f>
        <v>315.22999999999996</v>
      </c>
      <c r="P21" s="51">
        <v>0</v>
      </c>
      <c r="Q21" s="9">
        <f>'dec 2023'!Q21+'Jan 2024'!P21</f>
        <v>6.81</v>
      </c>
      <c r="R21" s="51">
        <v>0</v>
      </c>
      <c r="S21" s="9">
        <f>'dec 2023'!S21+'Jan 2024'!R21</f>
        <v>2.48</v>
      </c>
      <c r="T21" s="10">
        <f t="shared" si="2"/>
        <v>315.22999999999996</v>
      </c>
      <c r="U21" s="10">
        <f>H21+N21+T21</f>
        <v>423.70299999999986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'dec 2023'!H22</f>
        <v>27.069999999999879</v>
      </c>
      <c r="D22" s="51">
        <v>0</v>
      </c>
      <c r="E22" s="9">
        <f>'dec 2023'!E22+'Jan 2024'!D22</f>
        <v>0</v>
      </c>
      <c r="F22" s="51">
        <v>0</v>
      </c>
      <c r="G22" s="9">
        <f>'dec 2023'!G22+'Jan 2024'!F22</f>
        <v>0</v>
      </c>
      <c r="H22" s="9">
        <f t="shared" si="0"/>
        <v>27.069999999999879</v>
      </c>
      <c r="I22" s="9">
        <f>'dec 2023'!N22</f>
        <v>16.260000000000005</v>
      </c>
      <c r="J22" s="51">
        <v>0.06</v>
      </c>
      <c r="K22" s="9">
        <f>'dec 2023'!K22+'Jan 2024'!J22</f>
        <v>0.38</v>
      </c>
      <c r="L22" s="51">
        <v>0</v>
      </c>
      <c r="M22" s="9">
        <f>'dec 2023'!M22+'Jan 2024'!L22</f>
        <v>0</v>
      </c>
      <c r="N22" s="9">
        <f t="shared" si="1"/>
        <v>16.320000000000004</v>
      </c>
      <c r="O22" s="10">
        <f>'dec 2023'!T22</f>
        <v>776.75999999999965</v>
      </c>
      <c r="P22" s="51">
        <v>0</v>
      </c>
      <c r="Q22" s="9">
        <f>'dec 2023'!Q22+'Jan 2024'!P22</f>
        <v>0.73</v>
      </c>
      <c r="R22" s="51">
        <v>0</v>
      </c>
      <c r="S22" s="9">
        <f>'dec 2023'!S22+'Jan 2024'!R22</f>
        <v>0</v>
      </c>
      <c r="T22" s="10">
        <f t="shared" si="2"/>
        <v>776.75999999999965</v>
      </c>
      <c r="U22" s="10">
        <f>H22+N22+T22</f>
        <v>820.14999999999952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'dec 2023'!H23</f>
        <v>1148.6419999999998</v>
      </c>
      <c r="D23" s="51">
        <v>1.49</v>
      </c>
      <c r="E23" s="9">
        <f>'dec 2023'!E23+'Jan 2024'!D23</f>
        <v>16.929999999999996</v>
      </c>
      <c r="F23" s="51">
        <v>0</v>
      </c>
      <c r="G23" s="9">
        <f>'dec 2023'!G23+'Jan 2024'!F23</f>
        <v>0</v>
      </c>
      <c r="H23" s="9">
        <f t="shared" si="0"/>
        <v>1150.1319999999998</v>
      </c>
      <c r="I23" s="9">
        <f>'dec 2023'!N23</f>
        <v>56.123999999999988</v>
      </c>
      <c r="J23" s="51">
        <v>0.18</v>
      </c>
      <c r="K23" s="9">
        <f>'dec 2023'!K23+'Jan 2024'!J23</f>
        <v>6.0999999999999979</v>
      </c>
      <c r="L23" s="51">
        <v>0</v>
      </c>
      <c r="M23" s="9">
        <f>'dec 2023'!M23+'Jan 2024'!L23</f>
        <v>0</v>
      </c>
      <c r="N23" s="9">
        <f t="shared" si="1"/>
        <v>56.303999999999988</v>
      </c>
      <c r="O23" s="10">
        <f>'dec 2023'!T23</f>
        <v>414.98499999999996</v>
      </c>
      <c r="P23" s="51">
        <v>0.63</v>
      </c>
      <c r="Q23" s="9">
        <f>'dec 2023'!Q23+'Jan 2024'!P23</f>
        <v>10.780000000000001</v>
      </c>
      <c r="R23" s="51">
        <v>0</v>
      </c>
      <c r="S23" s="9">
        <f>'dec 2023'!S23+'Jan 2024'!R23</f>
        <v>0</v>
      </c>
      <c r="T23" s="10">
        <f t="shared" si="2"/>
        <v>415.61499999999995</v>
      </c>
      <c r="U23" s="10">
        <f>H23+N23+T23</f>
        <v>1622.0509999999999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'dec 2023'!H24</f>
        <v>2252.186999999999</v>
      </c>
      <c r="D24" s="37">
        <f t="shared" ref="D24:U24" si="6">SUM(D20:D23)</f>
        <v>1.49</v>
      </c>
      <c r="E24" s="15">
        <f t="shared" si="6"/>
        <v>16.929999999999996</v>
      </c>
      <c r="F24" s="37">
        <f t="shared" si="6"/>
        <v>0</v>
      </c>
      <c r="G24" s="15">
        <f t="shared" si="6"/>
        <v>90.67</v>
      </c>
      <c r="H24" s="15">
        <f t="shared" si="6"/>
        <v>2253.6769999999988</v>
      </c>
      <c r="I24" s="15">
        <f>'dec 2023'!N24</f>
        <v>286.38800000000009</v>
      </c>
      <c r="J24" s="37">
        <f t="shared" si="6"/>
        <v>0.57000000000000006</v>
      </c>
      <c r="K24" s="15">
        <f t="shared" si="6"/>
        <v>12.79</v>
      </c>
      <c r="L24" s="37">
        <f t="shared" si="6"/>
        <v>0</v>
      </c>
      <c r="M24" s="15">
        <f t="shared" si="6"/>
        <v>0</v>
      </c>
      <c r="N24" s="15">
        <f t="shared" si="6"/>
        <v>286.95800000000014</v>
      </c>
      <c r="O24" s="41">
        <f>'dec 2023'!T24</f>
        <v>2251.8659999999995</v>
      </c>
      <c r="P24" s="37">
        <f t="shared" si="6"/>
        <v>1.46</v>
      </c>
      <c r="Q24" s="15">
        <f t="shared" si="6"/>
        <v>21.32</v>
      </c>
      <c r="R24" s="37">
        <f t="shared" si="6"/>
        <v>0</v>
      </c>
      <c r="S24" s="15">
        <f t="shared" si="6"/>
        <v>2.48</v>
      </c>
      <c r="T24" s="15">
        <f t="shared" si="6"/>
        <v>2253.3259999999991</v>
      </c>
      <c r="U24" s="15">
        <f t="shared" si="6"/>
        <v>4793.9609999999993</v>
      </c>
      <c r="V24" s="49"/>
      <c r="W24" s="49"/>
    </row>
    <row r="25" spans="1:23" s="16" customFormat="1" ht="42.75" customHeight="1">
      <c r="A25" s="13"/>
      <c r="B25" s="14" t="s">
        <v>33</v>
      </c>
      <c r="C25" s="15">
        <f>'dec 2023'!H25</f>
        <v>8838.792999999996</v>
      </c>
      <c r="D25" s="37">
        <f t="shared" ref="D25:U25" si="7">D24+D19+D15+D11</f>
        <v>1.9300000000000002</v>
      </c>
      <c r="E25" s="15">
        <f t="shared" si="7"/>
        <v>35.049999999999997</v>
      </c>
      <c r="F25" s="37">
        <f t="shared" si="7"/>
        <v>5.6</v>
      </c>
      <c r="G25" s="15">
        <f t="shared" si="7"/>
        <v>114.95</v>
      </c>
      <c r="H25" s="15">
        <f t="shared" si="7"/>
        <v>8835.122999999996</v>
      </c>
      <c r="I25" s="15">
        <f>'dec 2023'!N25</f>
        <v>1683.1460000000002</v>
      </c>
      <c r="J25" s="37">
        <f t="shared" si="7"/>
        <v>7.5500000000000007</v>
      </c>
      <c r="K25" s="15">
        <f t="shared" si="7"/>
        <v>130.99200000000002</v>
      </c>
      <c r="L25" s="37">
        <f t="shared" si="7"/>
        <v>0</v>
      </c>
      <c r="M25" s="15">
        <f t="shared" si="7"/>
        <v>10.46</v>
      </c>
      <c r="N25" s="15">
        <f t="shared" si="7"/>
        <v>1690.6960000000004</v>
      </c>
      <c r="O25" s="41">
        <f>'dec 2023'!T25</f>
        <v>7775.1039999999994</v>
      </c>
      <c r="P25" s="37">
        <f t="shared" si="7"/>
        <v>45.8</v>
      </c>
      <c r="Q25" s="15">
        <f t="shared" si="7"/>
        <v>792.12999999999988</v>
      </c>
      <c r="R25" s="37">
        <f t="shared" si="7"/>
        <v>0</v>
      </c>
      <c r="S25" s="15">
        <f t="shared" si="7"/>
        <v>22.419999999999998</v>
      </c>
      <c r="T25" s="15">
        <f t="shared" si="7"/>
        <v>7820.9039999999986</v>
      </c>
      <c r="U25" s="15">
        <f t="shared" si="7"/>
        <v>18346.722999999994</v>
      </c>
      <c r="V25" s="49"/>
      <c r="W25" s="49"/>
    </row>
    <row r="26" spans="1:23" ht="42.75" customHeight="1">
      <c r="A26" s="7">
        <v>15</v>
      </c>
      <c r="B26" s="8" t="s">
        <v>34</v>
      </c>
      <c r="C26" s="9">
        <f>'dec 2023'!H26</f>
        <v>1310.5919999999999</v>
      </c>
      <c r="D26" s="51">
        <v>6.75</v>
      </c>
      <c r="E26" s="9">
        <f>'dec 2023'!E26+'Jan 2024'!D26</f>
        <v>79.360000000000014</v>
      </c>
      <c r="F26" s="51">
        <v>0</v>
      </c>
      <c r="G26" s="9">
        <f>'dec 2023'!G26+'Jan 2024'!F26</f>
        <v>0.02</v>
      </c>
      <c r="H26" s="9">
        <f t="shared" si="0"/>
        <v>1317.3419999999999</v>
      </c>
      <c r="I26" s="9">
        <f>'dec 2023'!N26</f>
        <v>0.78</v>
      </c>
      <c r="J26" s="51">
        <v>0</v>
      </c>
      <c r="K26" s="9">
        <f>'dec 2023'!K26+'Jan 2024'!J26</f>
        <v>0.67</v>
      </c>
      <c r="L26" s="51">
        <v>0</v>
      </c>
      <c r="M26" s="9">
        <f>'dec 2023'!M26+'Jan 2024'!L26</f>
        <v>0</v>
      </c>
      <c r="N26" s="9">
        <f t="shared" si="1"/>
        <v>0.78</v>
      </c>
      <c r="O26" s="10">
        <f>'dec 2023'!T26</f>
        <v>206.76000000000002</v>
      </c>
      <c r="P26" s="51">
        <v>0.1</v>
      </c>
      <c r="Q26" s="9">
        <f>'dec 2023'!Q26+'Jan 2024'!P26</f>
        <v>3.13</v>
      </c>
      <c r="R26" s="51">
        <v>0</v>
      </c>
      <c r="S26" s="9">
        <f>'dec 2023'!S26+'Jan 2024'!R26</f>
        <v>0</v>
      </c>
      <c r="T26" s="10">
        <f t="shared" si="2"/>
        <v>206.86</v>
      </c>
      <c r="U26" s="10">
        <f>H26+N26+T26</f>
        <v>1524.982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'dec 2023'!H27</f>
        <v>10501.186999999994</v>
      </c>
      <c r="D27" s="51">
        <v>9.57</v>
      </c>
      <c r="E27" s="9">
        <f>'dec 2023'!E27+'Jan 2024'!D27</f>
        <v>96.6</v>
      </c>
      <c r="F27" s="51">
        <v>0</v>
      </c>
      <c r="G27" s="9">
        <f>'dec 2023'!G27+'Jan 2024'!F27</f>
        <v>0</v>
      </c>
      <c r="H27" s="9">
        <f t="shared" si="0"/>
        <v>10510.756999999994</v>
      </c>
      <c r="I27" s="9">
        <f>'dec 2023'!N27</f>
        <v>448.56499999999994</v>
      </c>
      <c r="J27" s="51">
        <v>2.0099999999999998</v>
      </c>
      <c r="K27" s="9">
        <f>'dec 2023'!K27+'Jan 2024'!J27</f>
        <v>42.139999999999993</v>
      </c>
      <c r="L27" s="51">
        <v>0</v>
      </c>
      <c r="M27" s="9">
        <f>'dec 2023'!M27+'Jan 2024'!L27</f>
        <v>0</v>
      </c>
      <c r="N27" s="9">
        <f t="shared" si="1"/>
        <v>450.57499999999993</v>
      </c>
      <c r="O27" s="10">
        <f>'dec 2023'!T27</f>
        <v>46.820000000000022</v>
      </c>
      <c r="P27" s="51">
        <v>5.04</v>
      </c>
      <c r="Q27" s="9">
        <f>'dec 2023'!Q27+'Jan 2024'!P27</f>
        <v>8.34</v>
      </c>
      <c r="R27" s="51">
        <v>0</v>
      </c>
      <c r="S27" s="9">
        <f>'dec 2023'!S27+'Jan 2024'!R27</f>
        <v>0</v>
      </c>
      <c r="T27" s="10">
        <f t="shared" si="2"/>
        <v>51.860000000000021</v>
      </c>
      <c r="U27" s="10">
        <f>H27+N27+T27</f>
        <v>11013.191999999995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'dec 2023'!H28</f>
        <v>11811.778999999995</v>
      </c>
      <c r="D28" s="37">
        <f t="shared" ref="D28:U28" si="8">SUM(D26:D27)</f>
        <v>16.32</v>
      </c>
      <c r="E28" s="15">
        <f t="shared" si="8"/>
        <v>175.96</v>
      </c>
      <c r="F28" s="37">
        <f t="shared" si="8"/>
        <v>0</v>
      </c>
      <c r="G28" s="15">
        <f t="shared" si="8"/>
        <v>0.02</v>
      </c>
      <c r="H28" s="15">
        <f t="shared" si="8"/>
        <v>11828.098999999995</v>
      </c>
      <c r="I28" s="15">
        <f>'dec 2023'!N28</f>
        <v>449.34499999999991</v>
      </c>
      <c r="J28" s="37">
        <f t="shared" si="8"/>
        <v>2.0099999999999998</v>
      </c>
      <c r="K28" s="15">
        <f t="shared" si="8"/>
        <v>42.809999999999995</v>
      </c>
      <c r="L28" s="37">
        <f t="shared" si="8"/>
        <v>0</v>
      </c>
      <c r="M28" s="15">
        <f t="shared" si="8"/>
        <v>0</v>
      </c>
      <c r="N28" s="15">
        <f t="shared" si="8"/>
        <v>451.3549999999999</v>
      </c>
      <c r="O28" s="41">
        <f>'dec 2023'!T28</f>
        <v>253.58000000000004</v>
      </c>
      <c r="P28" s="37">
        <f t="shared" si="8"/>
        <v>5.14</v>
      </c>
      <c r="Q28" s="15">
        <f t="shared" si="8"/>
        <v>11.469999999999999</v>
      </c>
      <c r="R28" s="37">
        <f t="shared" si="8"/>
        <v>0</v>
      </c>
      <c r="S28" s="15">
        <f t="shared" si="8"/>
        <v>0</v>
      </c>
      <c r="T28" s="15">
        <f t="shared" si="8"/>
        <v>258.72000000000003</v>
      </c>
      <c r="U28" s="15">
        <f t="shared" si="8"/>
        <v>12538.173999999995</v>
      </c>
      <c r="V28" s="49"/>
      <c r="W28" s="49"/>
    </row>
    <row r="29" spans="1:23" ht="42.75" customHeight="1">
      <c r="A29" s="7">
        <v>17</v>
      </c>
      <c r="B29" s="8" t="s">
        <v>37</v>
      </c>
      <c r="C29" s="9">
        <f>'dec 2023'!H29</f>
        <v>4657.7740000000013</v>
      </c>
      <c r="D29" s="51">
        <v>12.48</v>
      </c>
      <c r="E29" s="9">
        <f>'dec 2023'!E29+'Jan 2024'!D29</f>
        <v>119.215</v>
      </c>
      <c r="F29" s="51">
        <v>0</v>
      </c>
      <c r="G29" s="9">
        <f>'dec 2023'!G29+'Jan 2024'!F29</f>
        <v>0</v>
      </c>
      <c r="H29" s="9">
        <f t="shared" si="0"/>
        <v>4670.2540000000008</v>
      </c>
      <c r="I29" s="9">
        <f>'dec 2023'!N29</f>
        <v>185.37</v>
      </c>
      <c r="J29" s="51">
        <v>0</v>
      </c>
      <c r="K29" s="9">
        <f>'dec 2023'!K29+'Jan 2024'!J29</f>
        <v>0.67</v>
      </c>
      <c r="L29" s="51">
        <v>0</v>
      </c>
      <c r="M29" s="9">
        <f>'dec 2023'!M29+'Jan 2024'!L29</f>
        <v>0</v>
      </c>
      <c r="N29" s="9">
        <f t="shared" si="1"/>
        <v>185.37</v>
      </c>
      <c r="O29" s="10">
        <f>'dec 2023'!T29</f>
        <v>781.66599999999983</v>
      </c>
      <c r="P29" s="51">
        <v>0.56999999999999995</v>
      </c>
      <c r="Q29" s="9">
        <f>'dec 2023'!Q29+'Jan 2024'!P29</f>
        <v>264.96599999999995</v>
      </c>
      <c r="R29" s="51">
        <v>0</v>
      </c>
      <c r="S29" s="9">
        <f>'dec 2023'!S29+'Jan 2024'!R29</f>
        <v>0</v>
      </c>
      <c r="T29" s="10">
        <f t="shared" si="2"/>
        <v>782.23599999999988</v>
      </c>
      <c r="U29" s="10">
        <f>H29+N29+T29</f>
        <v>5637.8600000000006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'dec 2023'!H30</f>
        <v>6570.4820000000018</v>
      </c>
      <c r="D30" s="51">
        <v>12.97</v>
      </c>
      <c r="E30" s="9">
        <f>'dec 2023'!E30+'Jan 2024'!D30</f>
        <v>132.45999999999998</v>
      </c>
      <c r="F30" s="51">
        <v>0</v>
      </c>
      <c r="G30" s="9">
        <f>'dec 2023'!G30+'Jan 2024'!F30</f>
        <v>0</v>
      </c>
      <c r="H30" s="9">
        <f t="shared" si="0"/>
        <v>6583.452000000002</v>
      </c>
      <c r="I30" s="9">
        <f>'dec 2023'!N30</f>
        <v>134.93</v>
      </c>
      <c r="J30" s="51">
        <v>0</v>
      </c>
      <c r="K30" s="9">
        <f>'dec 2023'!K30+'Jan 2024'!J30</f>
        <v>4.13</v>
      </c>
      <c r="L30" s="51">
        <v>0</v>
      </c>
      <c r="M30" s="9">
        <f>'dec 2023'!M30+'Jan 2024'!L30</f>
        <v>0</v>
      </c>
      <c r="N30" s="9">
        <f t="shared" si="1"/>
        <v>134.93</v>
      </c>
      <c r="O30" s="10">
        <f>'dec 2023'!T30</f>
        <v>311.12</v>
      </c>
      <c r="P30" s="51">
        <v>0</v>
      </c>
      <c r="Q30" s="9">
        <f>'dec 2023'!Q30+'Jan 2024'!P30</f>
        <v>116.33999999999999</v>
      </c>
      <c r="R30" s="51">
        <v>0</v>
      </c>
      <c r="S30" s="9">
        <f>'dec 2023'!S30+'Jan 2024'!R30</f>
        <v>0</v>
      </c>
      <c r="T30" s="10">
        <f t="shared" si="2"/>
        <v>311.12</v>
      </c>
      <c r="U30" s="10">
        <f>H30+N30+T30</f>
        <v>7029.5020000000022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'dec 2023'!H31</f>
        <v>3160.7729999999997</v>
      </c>
      <c r="D31" s="51">
        <v>2.56</v>
      </c>
      <c r="E31" s="9">
        <f>'dec 2023'!E31+'Jan 2024'!D31</f>
        <v>34.978000000000009</v>
      </c>
      <c r="F31" s="51">
        <v>0</v>
      </c>
      <c r="G31" s="9">
        <f>'dec 2023'!G31+'Jan 2024'!F31</f>
        <v>0</v>
      </c>
      <c r="H31" s="9">
        <f t="shared" si="0"/>
        <v>3163.3329999999996</v>
      </c>
      <c r="I31" s="9">
        <f>'dec 2023'!N31</f>
        <v>50.180000000000007</v>
      </c>
      <c r="J31" s="51">
        <v>0</v>
      </c>
      <c r="K31" s="9">
        <f>'dec 2023'!K31+'Jan 2024'!J31</f>
        <v>0</v>
      </c>
      <c r="L31" s="51">
        <v>0</v>
      </c>
      <c r="M31" s="9">
        <f>'dec 2023'!M31+'Jan 2024'!L31</f>
        <v>0</v>
      </c>
      <c r="N31" s="9">
        <f t="shared" si="1"/>
        <v>50.180000000000007</v>
      </c>
      <c r="O31" s="10">
        <f>'dec 2023'!T31</f>
        <v>244.44</v>
      </c>
      <c r="P31" s="51">
        <v>0</v>
      </c>
      <c r="Q31" s="9">
        <f>'dec 2023'!Q31+'Jan 2024'!P31</f>
        <v>0</v>
      </c>
      <c r="R31" s="51">
        <v>0</v>
      </c>
      <c r="S31" s="9">
        <f>'dec 2023'!S31+'Jan 2024'!R31</f>
        <v>0</v>
      </c>
      <c r="T31" s="10">
        <f t="shared" si="2"/>
        <v>244.44</v>
      </c>
      <c r="U31" s="10">
        <f>H31+N31+T31</f>
        <v>3457.9529999999995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'dec 2023'!H32</f>
        <v>4440.0199999999995</v>
      </c>
      <c r="D32" s="51">
        <v>6.16</v>
      </c>
      <c r="E32" s="9">
        <f>'dec 2023'!E32+'Jan 2024'!D32</f>
        <v>44.899999999999991</v>
      </c>
      <c r="F32" s="51">
        <v>0</v>
      </c>
      <c r="G32" s="9">
        <f>'dec 2023'!G32+'Jan 2024'!F32</f>
        <v>0</v>
      </c>
      <c r="H32" s="9">
        <f t="shared" si="0"/>
        <v>4446.1799999999994</v>
      </c>
      <c r="I32" s="9">
        <f>'dec 2023'!N32</f>
        <v>254.54599999999994</v>
      </c>
      <c r="J32" s="51">
        <v>0.87</v>
      </c>
      <c r="K32" s="9">
        <f>'dec 2023'!K32+'Jan 2024'!J32</f>
        <v>29.036000000000005</v>
      </c>
      <c r="L32" s="51">
        <v>0</v>
      </c>
      <c r="M32" s="9">
        <f>'dec 2023'!M32+'Jan 2024'!L32</f>
        <v>0</v>
      </c>
      <c r="N32" s="9">
        <f t="shared" si="1"/>
        <v>255.41599999999994</v>
      </c>
      <c r="O32" s="10">
        <f>'dec 2023'!T32</f>
        <v>243.81999999999996</v>
      </c>
      <c r="P32" s="51">
        <v>0</v>
      </c>
      <c r="Q32" s="9">
        <f>'dec 2023'!Q32+'Jan 2024'!P32</f>
        <v>0.16999999999999998</v>
      </c>
      <c r="R32" s="51">
        <v>0</v>
      </c>
      <c r="S32" s="9">
        <f>'dec 2023'!S32+'Jan 2024'!R32</f>
        <v>0</v>
      </c>
      <c r="T32" s="10">
        <f t="shared" si="2"/>
        <v>243.81999999999996</v>
      </c>
      <c r="U32" s="10">
        <f>H32+N32+T32</f>
        <v>4945.4159999999993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'dec 2023'!H33</f>
        <v>18829.049000000003</v>
      </c>
      <c r="D33" s="37">
        <f t="shared" ref="D33:U33" si="9">SUM(D29:D32)</f>
        <v>34.17</v>
      </c>
      <c r="E33" s="15">
        <f t="shared" si="9"/>
        <v>331.553</v>
      </c>
      <c r="F33" s="37">
        <f t="shared" si="9"/>
        <v>0</v>
      </c>
      <c r="G33" s="15">
        <f t="shared" si="9"/>
        <v>0</v>
      </c>
      <c r="H33" s="15">
        <f t="shared" si="9"/>
        <v>18863.219000000001</v>
      </c>
      <c r="I33" s="15">
        <f>'dec 2023'!N33</f>
        <v>625.02599999999995</v>
      </c>
      <c r="J33" s="37">
        <f t="shared" si="9"/>
        <v>0.87</v>
      </c>
      <c r="K33" s="15">
        <f t="shared" si="9"/>
        <v>33.836000000000006</v>
      </c>
      <c r="L33" s="37">
        <f t="shared" si="9"/>
        <v>0</v>
      </c>
      <c r="M33" s="15">
        <f t="shared" si="9"/>
        <v>0</v>
      </c>
      <c r="N33" s="15">
        <f t="shared" si="9"/>
        <v>625.89599999999996</v>
      </c>
      <c r="O33" s="41">
        <f>'dec 2023'!T33</f>
        <v>1581.0459999999998</v>
      </c>
      <c r="P33" s="37">
        <f t="shared" si="9"/>
        <v>0.56999999999999995</v>
      </c>
      <c r="Q33" s="15">
        <f t="shared" si="9"/>
        <v>381.47599999999994</v>
      </c>
      <c r="R33" s="37">
        <f t="shared" si="9"/>
        <v>0</v>
      </c>
      <c r="S33" s="15">
        <f t="shared" si="9"/>
        <v>0</v>
      </c>
      <c r="T33" s="15">
        <f t="shared" si="9"/>
        <v>1581.6159999999998</v>
      </c>
      <c r="U33" s="15">
        <f t="shared" si="9"/>
        <v>21070.731</v>
      </c>
      <c r="V33" s="49"/>
      <c r="W33" s="49"/>
    </row>
    <row r="34" spans="1:23" ht="42.75" customHeight="1">
      <c r="A34" s="7">
        <v>21</v>
      </c>
      <c r="B34" s="8" t="s">
        <v>42</v>
      </c>
      <c r="C34" s="9">
        <f>'dec 2023'!H34</f>
        <v>6382.5100000000029</v>
      </c>
      <c r="D34" s="51">
        <f>6+20.17</f>
        <v>26.17</v>
      </c>
      <c r="E34" s="9">
        <f>'dec 2023'!E34+'Jan 2024'!D34</f>
        <v>307.32000000000005</v>
      </c>
      <c r="F34" s="51">
        <v>0</v>
      </c>
      <c r="G34" s="9">
        <f>'dec 2023'!G34+'Jan 2024'!F34</f>
        <v>26.64</v>
      </c>
      <c r="H34" s="9">
        <f t="shared" si="0"/>
        <v>6408.680000000003</v>
      </c>
      <c r="I34" s="9">
        <f>'dec 2023'!N34</f>
        <v>2</v>
      </c>
      <c r="J34" s="51">
        <v>0</v>
      </c>
      <c r="K34" s="9">
        <f>'dec 2023'!K34+'Jan 2024'!J34</f>
        <v>0</v>
      </c>
      <c r="L34" s="51">
        <v>0</v>
      </c>
      <c r="M34" s="9">
        <f>'dec 2023'!M34+'Jan 2024'!L34</f>
        <v>0</v>
      </c>
      <c r="N34" s="9">
        <f t="shared" si="1"/>
        <v>2</v>
      </c>
      <c r="O34" s="10">
        <f>'dec 2023'!T34</f>
        <v>22.27</v>
      </c>
      <c r="P34" s="51">
        <v>0</v>
      </c>
      <c r="Q34" s="9">
        <f>'dec 2023'!Q34+'Jan 2024'!P34</f>
        <v>0.58000000000000007</v>
      </c>
      <c r="R34" s="51">
        <v>0</v>
      </c>
      <c r="S34" s="9">
        <f>'dec 2023'!S34+'Jan 2024'!R34</f>
        <v>17.010000000000002</v>
      </c>
      <c r="T34" s="10">
        <f t="shared" si="2"/>
        <v>22.27</v>
      </c>
      <c r="U34" s="10">
        <f>H34+N34+T34</f>
        <v>6432.9500000000035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'dec 2023'!H35</f>
        <v>9030.9450000000015</v>
      </c>
      <c r="D35" s="51">
        <f>10.09+437.5</f>
        <v>447.59</v>
      </c>
      <c r="E35" s="9">
        <f>'dec 2023'!E35+'Jan 2024'!D35</f>
        <v>4568.7700000000004</v>
      </c>
      <c r="F35" s="51">
        <v>0</v>
      </c>
      <c r="G35" s="9">
        <f>'dec 2023'!G35+'Jan 2024'!F35</f>
        <v>0</v>
      </c>
      <c r="H35" s="9">
        <f t="shared" si="0"/>
        <v>9478.5350000000017</v>
      </c>
      <c r="I35" s="9">
        <f>'dec 2023'!N35</f>
        <v>0.1</v>
      </c>
      <c r="J35" s="51">
        <v>0</v>
      </c>
      <c r="K35" s="9">
        <f>'dec 2023'!K35+'Jan 2024'!J35</f>
        <v>0</v>
      </c>
      <c r="L35" s="51">
        <v>0</v>
      </c>
      <c r="M35" s="9">
        <f>'dec 2023'!M35+'Jan 2024'!L35</f>
        <v>0</v>
      </c>
      <c r="N35" s="9">
        <f t="shared" si="1"/>
        <v>0.1</v>
      </c>
      <c r="O35" s="10">
        <f>'dec 2023'!T35</f>
        <v>125.47000000000001</v>
      </c>
      <c r="P35" s="51">
        <v>0</v>
      </c>
      <c r="Q35" s="9">
        <f>'dec 2023'!Q35+'Jan 2024'!P35</f>
        <v>0</v>
      </c>
      <c r="R35" s="51">
        <v>0</v>
      </c>
      <c r="S35" s="9">
        <f>'dec 2023'!S35+'Jan 2024'!R35</f>
        <v>0</v>
      </c>
      <c r="T35" s="10">
        <f t="shared" si="2"/>
        <v>125.47000000000001</v>
      </c>
      <c r="U35" s="10">
        <f>H35+N35+T35</f>
        <v>9604.1050000000014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'dec 2023'!H36</f>
        <v>22368.660000000007</v>
      </c>
      <c r="D36" s="51">
        <f>8.92+305.38</f>
        <v>314.3</v>
      </c>
      <c r="E36" s="9">
        <f>'dec 2023'!E36+'Jan 2024'!D36</f>
        <v>3213.94</v>
      </c>
      <c r="F36" s="51">
        <v>0</v>
      </c>
      <c r="G36" s="9">
        <f>'dec 2023'!G36+'Jan 2024'!F36</f>
        <v>0</v>
      </c>
      <c r="H36" s="9">
        <f t="shared" si="0"/>
        <v>22682.960000000006</v>
      </c>
      <c r="I36" s="9">
        <f>'dec 2023'!N36</f>
        <v>8.5</v>
      </c>
      <c r="J36" s="51">
        <v>0</v>
      </c>
      <c r="K36" s="9">
        <f>'dec 2023'!K36+'Jan 2024'!J36</f>
        <v>0.26</v>
      </c>
      <c r="L36" s="51">
        <v>0</v>
      </c>
      <c r="M36" s="9">
        <f>'dec 2023'!M36+'Jan 2024'!L36</f>
        <v>0.26</v>
      </c>
      <c r="N36" s="9">
        <f t="shared" si="1"/>
        <v>8.5</v>
      </c>
      <c r="O36" s="10">
        <f>'dec 2023'!T36</f>
        <v>72.39</v>
      </c>
      <c r="P36" s="51">
        <v>0</v>
      </c>
      <c r="Q36" s="9">
        <f>'dec 2023'!Q36+'Jan 2024'!P36</f>
        <v>0</v>
      </c>
      <c r="R36" s="51">
        <v>0</v>
      </c>
      <c r="S36" s="9">
        <f>'dec 2023'!S36+'Jan 2024'!R36</f>
        <v>0</v>
      </c>
      <c r="T36" s="10">
        <f t="shared" si="2"/>
        <v>72.39</v>
      </c>
      <c r="U36" s="10">
        <f>H36+N36+T36</f>
        <v>22763.850000000006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'dec 2023'!H37</f>
        <v>7073.0299999999988</v>
      </c>
      <c r="D37" s="51">
        <v>3.05</v>
      </c>
      <c r="E37" s="9">
        <f>'dec 2023'!E37+'Jan 2024'!D37</f>
        <v>51.14</v>
      </c>
      <c r="F37" s="51">
        <v>0</v>
      </c>
      <c r="G37" s="9">
        <f>'dec 2023'!G37+'Jan 2024'!F37</f>
        <v>0.02</v>
      </c>
      <c r="H37" s="9">
        <f t="shared" si="0"/>
        <v>7076.079999999999</v>
      </c>
      <c r="I37" s="9">
        <f>'dec 2023'!N37</f>
        <v>0</v>
      </c>
      <c r="J37" s="51">
        <v>0</v>
      </c>
      <c r="K37" s="9">
        <f>'dec 2023'!K37+'Jan 2024'!J37</f>
        <v>0</v>
      </c>
      <c r="L37" s="51">
        <v>0</v>
      </c>
      <c r="M37" s="9">
        <f>'dec 2023'!M37+'Jan 2024'!L37</f>
        <v>0</v>
      </c>
      <c r="N37" s="9">
        <f t="shared" si="1"/>
        <v>0</v>
      </c>
      <c r="O37" s="10">
        <f>'dec 2023'!T37</f>
        <v>3.1</v>
      </c>
      <c r="P37" s="51">
        <v>0</v>
      </c>
      <c r="Q37" s="9">
        <f>'dec 2023'!Q37+'Jan 2024'!P37</f>
        <v>0</v>
      </c>
      <c r="R37" s="51">
        <v>0</v>
      </c>
      <c r="S37" s="9">
        <f>'dec 2023'!S37+'Jan 2024'!R37</f>
        <v>0</v>
      </c>
      <c r="T37" s="10">
        <f t="shared" si="2"/>
        <v>3.1</v>
      </c>
      <c r="U37" s="10">
        <f>H37+N37+T37</f>
        <v>7079.1799999999994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'dec 2023'!H38</f>
        <v>44855.145000000011</v>
      </c>
      <c r="D38" s="37">
        <f t="shared" ref="D38:U38" si="10">SUM(D34:D37)</f>
        <v>791.1099999999999</v>
      </c>
      <c r="E38" s="15">
        <f t="shared" si="10"/>
        <v>8141.170000000001</v>
      </c>
      <c r="F38" s="37">
        <f t="shared" si="10"/>
        <v>0</v>
      </c>
      <c r="G38" s="15">
        <f t="shared" si="10"/>
        <v>26.66</v>
      </c>
      <c r="H38" s="15">
        <f t="shared" si="10"/>
        <v>45646.255000000012</v>
      </c>
      <c r="I38" s="15">
        <f>'dec 2023'!N38</f>
        <v>10.6</v>
      </c>
      <c r="J38" s="37">
        <f t="shared" si="10"/>
        <v>0</v>
      </c>
      <c r="K38" s="15">
        <f t="shared" si="10"/>
        <v>0.26</v>
      </c>
      <c r="L38" s="37">
        <f t="shared" si="10"/>
        <v>0</v>
      </c>
      <c r="M38" s="15">
        <f t="shared" si="10"/>
        <v>0.26</v>
      </c>
      <c r="N38" s="15">
        <f t="shared" si="10"/>
        <v>10.6</v>
      </c>
      <c r="O38" s="41">
        <f>'dec 2023'!T38</f>
        <v>223.23</v>
      </c>
      <c r="P38" s="37">
        <f t="shared" si="10"/>
        <v>0</v>
      </c>
      <c r="Q38" s="15">
        <f t="shared" si="10"/>
        <v>0.58000000000000007</v>
      </c>
      <c r="R38" s="37">
        <f t="shared" si="10"/>
        <v>0</v>
      </c>
      <c r="S38" s="15">
        <f t="shared" si="10"/>
        <v>17.010000000000002</v>
      </c>
      <c r="T38" s="15">
        <f t="shared" si="10"/>
        <v>223.23</v>
      </c>
      <c r="U38" s="15">
        <f t="shared" si="10"/>
        <v>45880.085000000014</v>
      </c>
      <c r="V38" s="49"/>
      <c r="W38" s="49"/>
    </row>
    <row r="39" spans="1:23" s="16" customFormat="1" ht="42.75" customHeight="1">
      <c r="A39" s="13"/>
      <c r="B39" s="14" t="s">
        <v>47</v>
      </c>
      <c r="C39" s="15">
        <f>'dec 2023'!H39</f>
        <v>75495.973000000013</v>
      </c>
      <c r="D39" s="37">
        <f t="shared" ref="D39:U39" si="11">D38+D33+D28</f>
        <v>841.59999999999991</v>
      </c>
      <c r="E39" s="15">
        <f t="shared" si="11"/>
        <v>8648.6830000000009</v>
      </c>
      <c r="F39" s="37">
        <f t="shared" si="11"/>
        <v>0</v>
      </c>
      <c r="G39" s="15">
        <f t="shared" si="11"/>
        <v>26.68</v>
      </c>
      <c r="H39" s="15">
        <f t="shared" si="11"/>
        <v>76337.573000000004</v>
      </c>
      <c r="I39" s="15">
        <f>'dec 2023'!N39</f>
        <v>1084.971</v>
      </c>
      <c r="J39" s="37">
        <f t="shared" si="11"/>
        <v>2.88</v>
      </c>
      <c r="K39" s="15">
        <f t="shared" si="11"/>
        <v>76.906000000000006</v>
      </c>
      <c r="L39" s="37">
        <f t="shared" si="11"/>
        <v>0</v>
      </c>
      <c r="M39" s="15">
        <f t="shared" si="11"/>
        <v>0.26</v>
      </c>
      <c r="N39" s="15">
        <f t="shared" si="11"/>
        <v>1087.8509999999999</v>
      </c>
      <c r="O39" s="41">
        <f>'dec 2023'!T39</f>
        <v>2057.8559999999998</v>
      </c>
      <c r="P39" s="37">
        <f t="shared" si="11"/>
        <v>5.71</v>
      </c>
      <c r="Q39" s="15">
        <f t="shared" si="11"/>
        <v>393.52599999999995</v>
      </c>
      <c r="R39" s="37">
        <f t="shared" si="11"/>
        <v>0</v>
      </c>
      <c r="S39" s="15">
        <f t="shared" si="11"/>
        <v>17.010000000000002</v>
      </c>
      <c r="T39" s="15">
        <f t="shared" si="11"/>
        <v>2063.5659999999998</v>
      </c>
      <c r="U39" s="15">
        <f t="shared" si="11"/>
        <v>79488.99000000002</v>
      </c>
      <c r="V39" s="49"/>
      <c r="W39" s="49"/>
    </row>
    <row r="40" spans="1:23" ht="42.75" customHeight="1">
      <c r="A40" s="7">
        <v>25</v>
      </c>
      <c r="B40" s="8" t="s">
        <v>48</v>
      </c>
      <c r="C40" s="9">
        <f>'dec 2023'!H40</f>
        <v>13992.208000000001</v>
      </c>
      <c r="D40" s="51">
        <v>5.42</v>
      </c>
      <c r="E40" s="9">
        <f>'dec 2023'!E40+'Jan 2024'!D40</f>
        <v>88.38</v>
      </c>
      <c r="F40" s="51">
        <v>0</v>
      </c>
      <c r="G40" s="9">
        <f>'dec 2023'!G40+'Jan 2024'!F40</f>
        <v>0</v>
      </c>
      <c r="H40" s="9">
        <f t="shared" si="0"/>
        <v>13997.628000000001</v>
      </c>
      <c r="I40" s="9">
        <f>'dec 2023'!N40</f>
        <v>226.8</v>
      </c>
      <c r="J40" s="51">
        <v>0</v>
      </c>
      <c r="K40" s="9">
        <f>'dec 2023'!K40+'Jan 2024'!J40</f>
        <v>0</v>
      </c>
      <c r="L40" s="51">
        <v>0</v>
      </c>
      <c r="M40" s="9">
        <f>'dec 2023'!M40+'Jan 2024'!L40</f>
        <v>0</v>
      </c>
      <c r="N40" s="9">
        <f t="shared" si="1"/>
        <v>226.8</v>
      </c>
      <c r="O40" s="10">
        <f>'dec 2023'!T40</f>
        <v>75.02000000000001</v>
      </c>
      <c r="P40" s="51">
        <v>0</v>
      </c>
      <c r="Q40" s="9">
        <f>'dec 2023'!Q40+'Jan 2024'!P40</f>
        <v>0</v>
      </c>
      <c r="R40" s="51">
        <v>0</v>
      </c>
      <c r="S40" s="9">
        <f>'dec 2023'!S40+'Jan 2024'!R40</f>
        <v>0</v>
      </c>
      <c r="T40" s="10">
        <f t="shared" si="2"/>
        <v>75.02000000000001</v>
      </c>
      <c r="U40" s="10">
        <f>H40+N40+T40</f>
        <v>14299.448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'dec 2023'!H41</f>
        <v>10714.985999999995</v>
      </c>
      <c r="D41" s="51">
        <v>5.69</v>
      </c>
      <c r="E41" s="9">
        <f>'dec 2023'!E41+'Jan 2024'!D41</f>
        <v>28.46</v>
      </c>
      <c r="F41" s="51">
        <v>0</v>
      </c>
      <c r="G41" s="9">
        <f>'dec 2023'!G41+'Jan 2024'!F41</f>
        <v>0.02</v>
      </c>
      <c r="H41" s="9">
        <f t="shared" si="0"/>
        <v>10720.675999999996</v>
      </c>
      <c r="I41" s="9">
        <f>'dec 2023'!N41</f>
        <v>0</v>
      </c>
      <c r="J41" s="51">
        <v>0</v>
      </c>
      <c r="K41" s="9">
        <f>'dec 2023'!K41+'Jan 2024'!J41</f>
        <v>0</v>
      </c>
      <c r="L41" s="51">
        <v>0</v>
      </c>
      <c r="M41" s="9">
        <f>'dec 2023'!M41+'Jan 2024'!L41</f>
        <v>0</v>
      </c>
      <c r="N41" s="9">
        <f t="shared" si="1"/>
        <v>0</v>
      </c>
      <c r="O41" s="10">
        <f>'dec 2023'!T41</f>
        <v>89.580000000000013</v>
      </c>
      <c r="P41" s="51">
        <v>0</v>
      </c>
      <c r="Q41" s="9">
        <f>'dec 2023'!Q41+'Jan 2024'!P41</f>
        <v>0</v>
      </c>
      <c r="R41" s="51">
        <v>0</v>
      </c>
      <c r="S41" s="9">
        <f>'dec 2023'!S41+'Jan 2024'!R41</f>
        <v>0</v>
      </c>
      <c r="T41" s="10">
        <f t="shared" si="2"/>
        <v>89.580000000000013</v>
      </c>
      <c r="U41" s="10">
        <f>H41+N41+T41</f>
        <v>10810.255999999996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'dec 2023'!H42</f>
        <v>25073.214000000004</v>
      </c>
      <c r="D42" s="51">
        <f>11.46+96.87</f>
        <v>108.33000000000001</v>
      </c>
      <c r="E42" s="9">
        <f>'dec 2023'!E42+'Jan 2024'!D42</f>
        <v>1101.31</v>
      </c>
      <c r="F42" s="51">
        <v>0</v>
      </c>
      <c r="G42" s="9">
        <f>'dec 2023'!G42+'Jan 2024'!F42</f>
        <v>0</v>
      </c>
      <c r="H42" s="9">
        <f t="shared" si="0"/>
        <v>25181.544000000005</v>
      </c>
      <c r="I42" s="9">
        <f>'dec 2023'!N42</f>
        <v>0</v>
      </c>
      <c r="J42" s="51">
        <v>0</v>
      </c>
      <c r="K42" s="9">
        <f>'dec 2023'!K42+'Jan 2024'!J42</f>
        <v>0</v>
      </c>
      <c r="L42" s="51">
        <v>0</v>
      </c>
      <c r="M42" s="9">
        <f>'dec 2023'!M42+'Jan 2024'!L42</f>
        <v>0</v>
      </c>
      <c r="N42" s="9">
        <f t="shared" si="1"/>
        <v>0</v>
      </c>
      <c r="O42" s="10">
        <f>'dec 2023'!T42</f>
        <v>38.47</v>
      </c>
      <c r="P42" s="51">
        <v>0</v>
      </c>
      <c r="Q42" s="9">
        <f>'dec 2023'!Q42+'Jan 2024'!P42</f>
        <v>0</v>
      </c>
      <c r="R42" s="51">
        <v>0</v>
      </c>
      <c r="S42" s="9">
        <f>'dec 2023'!S42+'Jan 2024'!R42</f>
        <v>0</v>
      </c>
      <c r="T42" s="10">
        <f t="shared" si="2"/>
        <v>38.47</v>
      </c>
      <c r="U42" s="10">
        <f>H42+N42+T42</f>
        <v>25220.014000000006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'dec 2023'!H43</f>
        <v>3118.7130000000006</v>
      </c>
      <c r="D43" s="51">
        <f>1.53+55.71</f>
        <v>57.24</v>
      </c>
      <c r="E43" s="9">
        <f>'dec 2023'!E43+'Jan 2024'!D43</f>
        <v>695.95</v>
      </c>
      <c r="F43" s="51">
        <v>0</v>
      </c>
      <c r="G43" s="9">
        <f>'dec 2023'!G43+'Jan 2024'!F43</f>
        <v>0</v>
      </c>
      <c r="H43" s="9">
        <f t="shared" si="0"/>
        <v>3175.9530000000004</v>
      </c>
      <c r="I43" s="9">
        <f>'dec 2023'!N43</f>
        <v>0</v>
      </c>
      <c r="J43" s="51">
        <v>0</v>
      </c>
      <c r="K43" s="9">
        <f>'dec 2023'!K43+'Jan 2024'!J43</f>
        <v>0</v>
      </c>
      <c r="L43" s="51">
        <v>0</v>
      </c>
      <c r="M43" s="9">
        <f>'dec 2023'!M43+'Jan 2024'!L43</f>
        <v>0</v>
      </c>
      <c r="N43" s="9">
        <f t="shared" si="1"/>
        <v>0</v>
      </c>
      <c r="O43" s="10">
        <f>'dec 2023'!T43</f>
        <v>146.49</v>
      </c>
      <c r="P43" s="51">
        <v>0</v>
      </c>
      <c r="Q43" s="9">
        <f>'dec 2023'!Q43+'Jan 2024'!P43</f>
        <v>0</v>
      </c>
      <c r="R43" s="51">
        <v>0</v>
      </c>
      <c r="S43" s="9">
        <f>'dec 2023'!S43+'Jan 2024'!R43</f>
        <v>0</v>
      </c>
      <c r="T43" s="10">
        <f t="shared" si="2"/>
        <v>146.49</v>
      </c>
      <c r="U43" s="10">
        <f>H43+N43+T43</f>
        <v>3322.4430000000002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'dec 2023'!H44</f>
        <v>52899.120999999999</v>
      </c>
      <c r="D44" s="37">
        <f t="shared" ref="D44:U44" si="12">SUM(D40:D43)</f>
        <v>176.68</v>
      </c>
      <c r="E44" s="15">
        <f t="shared" si="12"/>
        <v>1914.1</v>
      </c>
      <c r="F44" s="37">
        <f t="shared" si="12"/>
        <v>0</v>
      </c>
      <c r="G44" s="15">
        <f t="shared" si="12"/>
        <v>0.02</v>
      </c>
      <c r="H44" s="15">
        <f t="shared" si="12"/>
        <v>53075.800999999999</v>
      </c>
      <c r="I44" s="15">
        <f>'dec 2023'!N44</f>
        <v>226.8</v>
      </c>
      <c r="J44" s="37">
        <f t="shared" si="12"/>
        <v>0</v>
      </c>
      <c r="K44" s="15">
        <f t="shared" si="12"/>
        <v>0</v>
      </c>
      <c r="L44" s="37">
        <f t="shared" si="12"/>
        <v>0</v>
      </c>
      <c r="M44" s="15">
        <f t="shared" si="12"/>
        <v>0</v>
      </c>
      <c r="N44" s="15">
        <f t="shared" si="12"/>
        <v>226.8</v>
      </c>
      <c r="O44" s="41">
        <f>'dec 2023'!T44</f>
        <v>349.56000000000006</v>
      </c>
      <c r="P44" s="37">
        <f t="shared" si="12"/>
        <v>0</v>
      </c>
      <c r="Q44" s="15">
        <f t="shared" si="12"/>
        <v>0</v>
      </c>
      <c r="R44" s="37">
        <f t="shared" si="12"/>
        <v>0</v>
      </c>
      <c r="S44" s="15">
        <f t="shared" si="12"/>
        <v>0</v>
      </c>
      <c r="T44" s="15">
        <f t="shared" si="12"/>
        <v>349.56000000000006</v>
      </c>
      <c r="U44" s="15">
        <f t="shared" si="12"/>
        <v>53652.161000000007</v>
      </c>
      <c r="V44" s="49"/>
      <c r="W44" s="49"/>
    </row>
    <row r="45" spans="1:23" ht="42.75" customHeight="1">
      <c r="A45" s="7">
        <v>29</v>
      </c>
      <c r="B45" s="8" t="s">
        <v>53</v>
      </c>
      <c r="C45" s="9">
        <f>'dec 2023'!H45</f>
        <v>14172.745000000001</v>
      </c>
      <c r="D45" s="51">
        <v>3.72</v>
      </c>
      <c r="E45" s="9">
        <f>'dec 2023'!E45+'Jan 2024'!D45</f>
        <v>50.8</v>
      </c>
      <c r="F45" s="51">
        <v>0</v>
      </c>
      <c r="G45" s="9">
        <f>'dec 2023'!G45+'Jan 2024'!F45</f>
        <v>0</v>
      </c>
      <c r="H45" s="9">
        <f t="shared" si="0"/>
        <v>14176.465</v>
      </c>
      <c r="I45" s="9">
        <f>'dec 2023'!N45</f>
        <v>8.16</v>
      </c>
      <c r="J45" s="51">
        <v>0</v>
      </c>
      <c r="K45" s="9">
        <f>'dec 2023'!K45+'Jan 2024'!J45</f>
        <v>1.49</v>
      </c>
      <c r="L45" s="51">
        <v>0</v>
      </c>
      <c r="M45" s="9">
        <f>'dec 2023'!M45+'Jan 2024'!L45</f>
        <v>0</v>
      </c>
      <c r="N45" s="9">
        <f t="shared" si="1"/>
        <v>8.16</v>
      </c>
      <c r="O45" s="10">
        <f>'dec 2023'!T45</f>
        <v>105.87000000000002</v>
      </c>
      <c r="P45" s="51">
        <v>0</v>
      </c>
      <c r="Q45" s="9">
        <f>'dec 2023'!Q45+'Jan 2024'!P45</f>
        <v>0</v>
      </c>
      <c r="R45" s="51">
        <v>0</v>
      </c>
      <c r="S45" s="9">
        <f>'dec 2023'!S45+'Jan 2024'!R45</f>
        <v>0</v>
      </c>
      <c r="T45" s="10">
        <f t="shared" si="2"/>
        <v>105.87000000000002</v>
      </c>
      <c r="U45" s="10">
        <f>H45+N45+T45</f>
        <v>14290.495000000001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'dec 2023'!H46</f>
        <v>7557.4249999999993</v>
      </c>
      <c r="D46" s="51">
        <v>12.43</v>
      </c>
      <c r="E46" s="9">
        <f>'dec 2023'!E46+'Jan 2024'!D46</f>
        <v>156.79999999999998</v>
      </c>
      <c r="F46" s="51">
        <v>0</v>
      </c>
      <c r="G46" s="9">
        <f>'dec 2023'!G46+'Jan 2024'!F46</f>
        <v>0</v>
      </c>
      <c r="H46" s="9">
        <f t="shared" si="0"/>
        <v>7569.8549999999996</v>
      </c>
      <c r="I46" s="9">
        <f>'dec 2023'!N46</f>
        <v>0</v>
      </c>
      <c r="J46" s="51">
        <v>0</v>
      </c>
      <c r="K46" s="9">
        <f>'dec 2023'!K46+'Jan 2024'!J46</f>
        <v>0</v>
      </c>
      <c r="L46" s="51">
        <v>0</v>
      </c>
      <c r="M46" s="9">
        <f>'dec 2023'!M46+'Jan 2024'!L46</f>
        <v>0</v>
      </c>
      <c r="N46" s="9">
        <f t="shared" si="1"/>
        <v>0</v>
      </c>
      <c r="O46" s="10">
        <f>'dec 2023'!T46</f>
        <v>7.5900000000000007</v>
      </c>
      <c r="P46" s="51">
        <v>0</v>
      </c>
      <c r="Q46" s="9">
        <f>'dec 2023'!Q46+'Jan 2024'!P46</f>
        <v>0</v>
      </c>
      <c r="R46" s="51">
        <v>0</v>
      </c>
      <c r="S46" s="9">
        <f>'dec 2023'!S46+'Jan 2024'!R46</f>
        <v>0</v>
      </c>
      <c r="T46" s="10">
        <f t="shared" si="2"/>
        <v>7.5900000000000007</v>
      </c>
      <c r="U46" s="10">
        <f>H46+N46+T46</f>
        <v>7577.4449999999997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'dec 2023'!H47</f>
        <v>12310.890000000007</v>
      </c>
      <c r="D47" s="51">
        <v>0.27</v>
      </c>
      <c r="E47" s="9">
        <f>'dec 2023'!E47+'Jan 2024'!D47</f>
        <v>7.120000000000001</v>
      </c>
      <c r="F47" s="51">
        <v>0</v>
      </c>
      <c r="G47" s="9">
        <f>'dec 2023'!G47+'Jan 2024'!F47</f>
        <v>0</v>
      </c>
      <c r="H47" s="9">
        <f t="shared" si="0"/>
        <v>12311.160000000007</v>
      </c>
      <c r="I47" s="9">
        <f>'dec 2023'!N47</f>
        <v>1.2999999999999998</v>
      </c>
      <c r="J47" s="51">
        <v>0</v>
      </c>
      <c r="K47" s="9">
        <f>'dec 2023'!K47+'Jan 2024'!J47</f>
        <v>0</v>
      </c>
      <c r="L47" s="51">
        <v>0</v>
      </c>
      <c r="M47" s="9">
        <f>'dec 2023'!M47+'Jan 2024'!L47</f>
        <v>0</v>
      </c>
      <c r="N47" s="9">
        <f t="shared" si="1"/>
        <v>1.2999999999999998</v>
      </c>
      <c r="O47" s="10">
        <f>'dec 2023'!T47</f>
        <v>86.18</v>
      </c>
      <c r="P47" s="51">
        <v>0</v>
      </c>
      <c r="Q47" s="9">
        <f>'dec 2023'!Q47+'Jan 2024'!P47</f>
        <v>0</v>
      </c>
      <c r="R47" s="51">
        <v>0</v>
      </c>
      <c r="S47" s="9">
        <f>'dec 2023'!S47+'Jan 2024'!R47</f>
        <v>0</v>
      </c>
      <c r="T47" s="10">
        <f t="shared" si="2"/>
        <v>86.18</v>
      </c>
      <c r="U47" s="10">
        <f>H47+N47+T47</f>
        <v>12398.640000000007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'dec 2023'!H48</f>
        <v>11115.232000000007</v>
      </c>
      <c r="D48" s="51">
        <v>0.4</v>
      </c>
      <c r="E48" s="9">
        <f>'dec 2023'!E48+'Jan 2024'!D48</f>
        <v>8.42</v>
      </c>
      <c r="F48" s="51">
        <v>0</v>
      </c>
      <c r="G48" s="9">
        <f>'dec 2023'!G48+'Jan 2024'!F48</f>
        <v>0</v>
      </c>
      <c r="H48" s="9">
        <f t="shared" si="0"/>
        <v>11115.632000000007</v>
      </c>
      <c r="I48" s="9">
        <f>'dec 2023'!N48</f>
        <v>0</v>
      </c>
      <c r="J48" s="51">
        <v>0</v>
      </c>
      <c r="K48" s="9">
        <f>'dec 2023'!K48+'Jan 2024'!J48</f>
        <v>0</v>
      </c>
      <c r="L48" s="51">
        <v>0</v>
      </c>
      <c r="M48" s="9">
        <f>'dec 2023'!M48+'Jan 2024'!L48</f>
        <v>0</v>
      </c>
      <c r="N48" s="9">
        <f t="shared" si="1"/>
        <v>0</v>
      </c>
      <c r="O48" s="10">
        <f>'dec 2023'!T48</f>
        <v>30.53</v>
      </c>
      <c r="P48" s="51">
        <v>0</v>
      </c>
      <c r="Q48" s="9">
        <f>'dec 2023'!Q48+'Jan 2024'!P48</f>
        <v>0</v>
      </c>
      <c r="R48" s="51">
        <v>0</v>
      </c>
      <c r="S48" s="9">
        <f>'dec 2023'!S48+'Jan 2024'!R48</f>
        <v>0</v>
      </c>
      <c r="T48" s="10">
        <f t="shared" si="2"/>
        <v>30.53</v>
      </c>
      <c r="U48" s="10">
        <f>H48+N48+T48</f>
        <v>11146.162000000008</v>
      </c>
      <c r="V48" s="75"/>
      <c r="W48" s="11"/>
    </row>
    <row r="49" spans="1:23" s="16" customFormat="1" ht="57.75" customHeight="1">
      <c r="A49" s="13"/>
      <c r="B49" s="14" t="s">
        <v>57</v>
      </c>
      <c r="C49" s="15">
        <f>'dec 2023'!H49</f>
        <v>45156.292000000016</v>
      </c>
      <c r="D49" s="37">
        <f t="shared" ref="D49:U49" si="13">SUM(D45:D48)</f>
        <v>16.819999999999997</v>
      </c>
      <c r="E49" s="15">
        <f t="shared" si="13"/>
        <v>223.13999999999996</v>
      </c>
      <c r="F49" s="37">
        <f t="shared" si="13"/>
        <v>0</v>
      </c>
      <c r="G49" s="15">
        <f t="shared" si="13"/>
        <v>0</v>
      </c>
      <c r="H49" s="15">
        <f t="shared" si="13"/>
        <v>45173.112000000016</v>
      </c>
      <c r="I49" s="15">
        <f>'dec 2023'!N49</f>
        <v>9.4600000000000009</v>
      </c>
      <c r="J49" s="37">
        <f t="shared" si="13"/>
        <v>0</v>
      </c>
      <c r="K49" s="15">
        <f t="shared" si="13"/>
        <v>1.49</v>
      </c>
      <c r="L49" s="37">
        <f t="shared" si="13"/>
        <v>0</v>
      </c>
      <c r="M49" s="15">
        <f t="shared" si="13"/>
        <v>0</v>
      </c>
      <c r="N49" s="15">
        <f t="shared" si="13"/>
        <v>9.4600000000000009</v>
      </c>
      <c r="O49" s="41">
        <f>'dec 2023'!T49</f>
        <v>230.17000000000004</v>
      </c>
      <c r="P49" s="37">
        <f t="shared" si="13"/>
        <v>0</v>
      </c>
      <c r="Q49" s="15">
        <f t="shared" si="13"/>
        <v>0</v>
      </c>
      <c r="R49" s="37">
        <f t="shared" si="13"/>
        <v>0</v>
      </c>
      <c r="S49" s="15">
        <f t="shared" si="13"/>
        <v>0</v>
      </c>
      <c r="T49" s="15">
        <f t="shared" si="13"/>
        <v>230.17000000000004</v>
      </c>
      <c r="U49" s="15">
        <f t="shared" si="13"/>
        <v>45412.742000000013</v>
      </c>
      <c r="V49" s="49"/>
      <c r="W49" s="49"/>
    </row>
    <row r="50" spans="1:23" s="16" customFormat="1" ht="42.75" customHeight="1">
      <c r="A50" s="13"/>
      <c r="B50" s="14" t="s">
        <v>58</v>
      </c>
      <c r="C50" s="15">
        <f>'dec 2023'!H50</f>
        <v>98055.413000000015</v>
      </c>
      <c r="D50" s="37">
        <f t="shared" ref="D50:U50" si="14">D49+D44</f>
        <v>193.5</v>
      </c>
      <c r="E50" s="15">
        <f t="shared" si="14"/>
        <v>2137.2399999999998</v>
      </c>
      <c r="F50" s="37">
        <f t="shared" si="14"/>
        <v>0</v>
      </c>
      <c r="G50" s="15">
        <f t="shared" si="14"/>
        <v>0.02</v>
      </c>
      <c r="H50" s="15">
        <f t="shared" si="14"/>
        <v>98248.913000000015</v>
      </c>
      <c r="I50" s="15">
        <f>'dec 2023'!N50</f>
        <v>236.26000000000002</v>
      </c>
      <c r="J50" s="37">
        <f t="shared" si="14"/>
        <v>0</v>
      </c>
      <c r="K50" s="15">
        <f t="shared" si="14"/>
        <v>1.49</v>
      </c>
      <c r="L50" s="37">
        <f t="shared" si="14"/>
        <v>0</v>
      </c>
      <c r="M50" s="15">
        <f t="shared" si="14"/>
        <v>0</v>
      </c>
      <c r="N50" s="15">
        <f t="shared" si="14"/>
        <v>236.26000000000002</v>
      </c>
      <c r="O50" s="41">
        <f>'dec 2023'!T50</f>
        <v>579.73000000000013</v>
      </c>
      <c r="P50" s="37">
        <f t="shared" si="14"/>
        <v>0</v>
      </c>
      <c r="Q50" s="15">
        <f t="shared" si="14"/>
        <v>0</v>
      </c>
      <c r="R50" s="37">
        <f t="shared" si="14"/>
        <v>0</v>
      </c>
      <c r="S50" s="15">
        <f t="shared" si="14"/>
        <v>0</v>
      </c>
      <c r="T50" s="15">
        <f t="shared" si="14"/>
        <v>579.73000000000013</v>
      </c>
      <c r="U50" s="15">
        <f t="shared" si="14"/>
        <v>99064.90300000002</v>
      </c>
      <c r="V50" s="49"/>
      <c r="W50" s="49"/>
    </row>
    <row r="51" spans="1:23" s="16" customFormat="1" ht="42.75" customHeight="1">
      <c r="A51" s="13"/>
      <c r="B51" s="14" t="s">
        <v>59</v>
      </c>
      <c r="C51" s="15">
        <f>'dec 2023'!H51</f>
        <v>182390.17900000003</v>
      </c>
      <c r="D51" s="37">
        <f t="shared" ref="D51:U51" si="15">D50+D39+D25</f>
        <v>1037.03</v>
      </c>
      <c r="E51" s="15">
        <f t="shared" si="15"/>
        <v>10820.973</v>
      </c>
      <c r="F51" s="37">
        <f t="shared" si="15"/>
        <v>5.6</v>
      </c>
      <c r="G51" s="15">
        <f t="shared" si="15"/>
        <v>141.65</v>
      </c>
      <c r="H51" s="37">
        <f t="shared" si="15"/>
        <v>183421.60900000003</v>
      </c>
      <c r="I51" s="15">
        <f>'dec 2023'!N51</f>
        <v>3004.3770000000004</v>
      </c>
      <c r="J51" s="37">
        <f t="shared" si="15"/>
        <v>10.43</v>
      </c>
      <c r="K51" s="15">
        <f t="shared" si="15"/>
        <v>209.38800000000003</v>
      </c>
      <c r="L51" s="37">
        <f t="shared" si="15"/>
        <v>0</v>
      </c>
      <c r="M51" s="15">
        <f t="shared" si="15"/>
        <v>10.72</v>
      </c>
      <c r="N51" s="37">
        <f t="shared" si="15"/>
        <v>3014.8070000000002</v>
      </c>
      <c r="O51" s="41">
        <f>'dec 2023'!T51</f>
        <v>10412.689999999999</v>
      </c>
      <c r="P51" s="37">
        <f t="shared" si="15"/>
        <v>51.51</v>
      </c>
      <c r="Q51" s="15">
        <f t="shared" si="15"/>
        <v>1185.6559999999999</v>
      </c>
      <c r="R51" s="37">
        <f t="shared" si="15"/>
        <v>0</v>
      </c>
      <c r="S51" s="15">
        <f t="shared" si="15"/>
        <v>39.43</v>
      </c>
      <c r="T51" s="37">
        <f t="shared" si="15"/>
        <v>10464.199999999999</v>
      </c>
      <c r="U51" s="15">
        <f t="shared" si="15"/>
        <v>196900.61600000004</v>
      </c>
      <c r="V51" s="49"/>
      <c r="W51" s="49"/>
    </row>
    <row r="52" spans="1:23" s="21" customFormat="1" ht="42.75" hidden="1" customHeight="1">
      <c r="A52" s="18"/>
      <c r="B52" s="19"/>
      <c r="C52" s="9">
        <f>'dec 2023'!H52</f>
        <v>0</v>
      </c>
      <c r="D52" s="55"/>
      <c r="E52" s="9">
        <f>'Sept 2023'!E52+'Jan 2024'!D52</f>
        <v>0</v>
      </c>
      <c r="F52" s="55"/>
      <c r="G52" s="9">
        <f>'Sept 2023'!G52+'Jan 2024'!F52</f>
        <v>0</v>
      </c>
      <c r="H52" s="9">
        <f t="shared" si="0"/>
        <v>0</v>
      </c>
      <c r="I52" s="9">
        <f>'Sept 2023'!N52</f>
        <v>0</v>
      </c>
      <c r="J52" s="55"/>
      <c r="K52" s="9">
        <f>'Sept 2023'!K52+'Jan 2024'!J52</f>
        <v>0</v>
      </c>
      <c r="L52" s="55"/>
      <c r="M52" s="9"/>
      <c r="N52" s="20"/>
      <c r="O52" s="10">
        <f>'Nov 2023'!T52</f>
        <v>0</v>
      </c>
      <c r="P52" s="55"/>
      <c r="Q52" s="9">
        <f>'Sept 2023'!Q52+'Jan 2024'!P52</f>
        <v>0</v>
      </c>
      <c r="R52" s="55"/>
      <c r="S52" s="9">
        <f>'Sept 2023'!S52+'Jan 2024'!R52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'dec 2023'!H53</f>
        <v>0</v>
      </c>
      <c r="D53" s="55"/>
      <c r="E53" s="9">
        <f>'Sept 2023'!E53+'Jan 2024'!D53</f>
        <v>0</v>
      </c>
      <c r="F53" s="55"/>
      <c r="G53" s="9">
        <f>'Sept 2023'!G53+'Jan 2024'!F53</f>
        <v>0</v>
      </c>
      <c r="H53" s="9">
        <f t="shared" si="0"/>
        <v>0</v>
      </c>
      <c r="I53" s="9">
        <f>'Sept 2023'!N53</f>
        <v>0</v>
      </c>
      <c r="J53" s="55"/>
      <c r="K53" s="9">
        <f>'Sept 2023'!K53+'Jan 2024'!J53</f>
        <v>0</v>
      </c>
      <c r="L53" s="55"/>
      <c r="M53" s="9"/>
      <c r="N53" s="20"/>
      <c r="O53" s="10">
        <f>'Nov 2023'!T53</f>
        <v>0</v>
      </c>
      <c r="P53" s="64"/>
      <c r="Q53" s="9">
        <f>'Sept 2023'!Q53+'Jan 2024'!P53</f>
        <v>0</v>
      </c>
      <c r="R53" s="55"/>
      <c r="S53" s="9">
        <f>'Sept 2023'!S53+'Jan 2024'!R53</f>
        <v>0</v>
      </c>
      <c r="T53" s="23"/>
      <c r="U53" s="20"/>
      <c r="V53" s="20"/>
      <c r="W53" s="20"/>
    </row>
    <row r="54" spans="1:23" s="44" customFormat="1" ht="71.25" customHeight="1">
      <c r="A54" s="77" t="s">
        <v>76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3" s="16" customFormat="1" ht="57" customHeight="1">
      <c r="A55" s="25"/>
      <c r="B55" s="26"/>
      <c r="C55" s="27"/>
      <c r="D55" s="74" t="s">
        <v>60</v>
      </c>
      <c r="E55" s="74"/>
      <c r="F55" s="74"/>
      <c r="G55" s="74"/>
      <c r="H55" s="40">
        <f>D51+J51+P51-F51-L51-R51</f>
        <v>1093.3700000000001</v>
      </c>
      <c r="I55" s="40"/>
      <c r="J55" s="59"/>
      <c r="K55" s="40"/>
      <c r="L55" s="59"/>
      <c r="M55" s="40"/>
      <c r="N55" s="40"/>
      <c r="O55" s="28"/>
      <c r="P55" s="59"/>
      <c r="Q55" s="40"/>
      <c r="R55" s="59"/>
      <c r="S55" s="40"/>
      <c r="T55" s="40"/>
      <c r="U55" s="39"/>
      <c r="V55" s="39"/>
      <c r="W55" s="39"/>
    </row>
    <row r="56" spans="1:23" s="16" customFormat="1" ht="66" customHeight="1">
      <c r="A56" s="25"/>
      <c r="B56" s="26"/>
      <c r="C56" s="40"/>
      <c r="D56" s="74" t="s">
        <v>61</v>
      </c>
      <c r="E56" s="74"/>
      <c r="F56" s="74"/>
      <c r="G56" s="74"/>
      <c r="H56" s="40">
        <f>E51+K51+Q51-G51-M51-S51</f>
        <v>12024.217000000001</v>
      </c>
      <c r="I56" s="40"/>
      <c r="J56" s="59"/>
      <c r="K56" s="40"/>
      <c r="L56" s="59"/>
      <c r="M56" s="40"/>
      <c r="N56" s="40"/>
      <c r="O56" s="28"/>
      <c r="P56" s="59"/>
      <c r="Q56" s="40"/>
      <c r="R56" s="59"/>
      <c r="S56" s="40"/>
      <c r="T56" s="40"/>
      <c r="U56" s="39"/>
      <c r="V56" s="39"/>
      <c r="W56" s="39"/>
    </row>
    <row r="57" spans="1:23" ht="54" customHeight="1">
      <c r="C57" s="27"/>
      <c r="D57" s="74" t="s">
        <v>62</v>
      </c>
      <c r="E57" s="74"/>
      <c r="F57" s="74"/>
      <c r="G57" s="74"/>
      <c r="H57" s="40">
        <f>H51+N51+T51</f>
        <v>196900.61600000004</v>
      </c>
      <c r="I57" s="30"/>
      <c r="J57" s="60"/>
      <c r="K57" s="30"/>
      <c r="L57" s="63"/>
      <c r="M57" s="31"/>
      <c r="N57" s="32" t="e">
        <f>#REF!+'Jan 2024'!H55</f>
        <v>#REF!</v>
      </c>
      <c r="O57" s="11"/>
      <c r="P57" s="60"/>
      <c r="Q57" s="30"/>
      <c r="T57" s="33"/>
      <c r="U57" s="11"/>
      <c r="V57" s="11"/>
      <c r="W57" s="11"/>
    </row>
    <row r="58" spans="1:23" ht="42.75" customHeight="1">
      <c r="C58" s="39"/>
      <c r="D58" s="56"/>
      <c r="E58" s="34"/>
      <c r="H58" s="30"/>
      <c r="J58" s="61" t="e">
        <f>#REF!+'Jan 2024'!H55</f>
        <v>#REF!</v>
      </c>
      <c r="K58" s="30"/>
      <c r="L58" s="61" t="e">
        <f>#REF!+'Jan 2024'!H55</f>
        <v>#REF!</v>
      </c>
      <c r="M58" s="30"/>
      <c r="O58" s="11"/>
    </row>
    <row r="59" spans="1:23" s="16" customFormat="1" ht="78.75" customHeight="1">
      <c r="B59" s="80" t="s">
        <v>77</v>
      </c>
      <c r="C59" s="80"/>
      <c r="D59" s="80"/>
      <c r="E59" s="80"/>
      <c r="F59" s="80"/>
      <c r="H59" s="34"/>
      <c r="I59" s="45" t="e">
        <f>#REF!+'[3]dec 2023'!H56</f>
        <v>#REF!</v>
      </c>
      <c r="J59" s="52"/>
      <c r="K59" s="30"/>
      <c r="L59" s="60"/>
      <c r="M59" s="35">
        <f>'[2]March 2022'!H58+'[3]dec 2023'!H56</f>
        <v>179518.49399999995</v>
      </c>
      <c r="P59" s="53"/>
      <c r="Q59" s="80" t="s">
        <v>78</v>
      </c>
      <c r="R59" s="80"/>
      <c r="S59" s="80"/>
      <c r="T59" s="80"/>
      <c r="U59" s="80"/>
    </row>
    <row r="60" spans="1:23" s="16" customFormat="1" ht="45.75" customHeight="1">
      <c r="B60" s="80" t="s">
        <v>79</v>
      </c>
      <c r="C60" s="80"/>
      <c r="D60" s="80"/>
      <c r="E60" s="80"/>
      <c r="F60" s="80"/>
      <c r="G60" s="46"/>
      <c r="H60" s="47">
        <f>'[4]feb 2021'!H58+'[3]dec 2023'!H56</f>
        <v>177015.56</v>
      </c>
      <c r="I60" s="46"/>
      <c r="J60" s="62"/>
      <c r="K60" s="30"/>
      <c r="L60" s="60"/>
      <c r="M60" s="30"/>
      <c r="P60" s="53"/>
      <c r="Q60" s="80" t="s">
        <v>79</v>
      </c>
      <c r="R60" s="80"/>
      <c r="S60" s="80"/>
      <c r="T60" s="80"/>
      <c r="U60" s="80"/>
    </row>
    <row r="61" spans="1:23" s="16" customFormat="1">
      <c r="B61" s="26"/>
      <c r="D61" s="53"/>
      <c r="F61" s="57"/>
      <c r="I61" s="46"/>
      <c r="J61" s="57"/>
      <c r="L61" s="53"/>
      <c r="P61" s="53"/>
      <c r="Q61" s="39"/>
      <c r="R61" s="56"/>
      <c r="S61" s="1"/>
      <c r="T61" s="39"/>
      <c r="U61" s="39"/>
      <c r="V61" s="39"/>
      <c r="W61" s="39"/>
    </row>
    <row r="62" spans="1:23" s="16" customFormat="1" ht="61.5" customHeight="1">
      <c r="B62" s="26"/>
      <c r="D62" s="53"/>
      <c r="F62" s="53"/>
      <c r="G62" s="47">
        <f>'[4]May 2020'!H56+'[3]dec 2023'!H56</f>
        <v>174908.878</v>
      </c>
      <c r="J62" s="79" t="s">
        <v>80</v>
      </c>
      <c r="K62" s="79"/>
      <c r="L62" s="79"/>
      <c r="O62" s="39"/>
      <c r="P62" s="53"/>
      <c r="R62" s="53"/>
      <c r="S62" s="48"/>
      <c r="U62" s="39"/>
      <c r="V62" s="39"/>
      <c r="W62" s="39"/>
    </row>
    <row r="63" spans="1:23" s="16" customFormat="1" ht="58.5" customHeight="1">
      <c r="B63" s="26"/>
      <c r="D63" s="53"/>
      <c r="F63" s="53"/>
      <c r="H63" s="34"/>
      <c r="J63" s="79" t="s">
        <v>81</v>
      </c>
      <c r="K63" s="79"/>
      <c r="L63" s="79"/>
      <c r="O63" s="39"/>
      <c r="P63" s="53"/>
      <c r="R63" s="53"/>
      <c r="S63" s="48"/>
      <c r="U63" s="39"/>
      <c r="V63" s="39"/>
      <c r="W63" s="39"/>
    </row>
  </sheetData>
  <mergeCells count="32">
    <mergeCell ref="J63:L63"/>
    <mergeCell ref="B59:F59"/>
    <mergeCell ref="Q59:U59"/>
    <mergeCell ref="B60:F60"/>
    <mergeCell ref="Q60:U60"/>
    <mergeCell ref="J62:L62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D55:G55"/>
    <mergeCell ref="D56:G56"/>
    <mergeCell ref="D57:G57"/>
    <mergeCell ref="P5:Q5"/>
    <mergeCell ref="R5:S5"/>
    <mergeCell ref="A54:U54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2"/>
  <sheetViews>
    <sheetView topLeftCell="F37" zoomScale="38" zoomScaleNormal="38" zoomScaleSheetLayoutView="25" workbookViewId="0">
      <selection activeCell="E11" sqref="E11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66" t="s">
        <v>12</v>
      </c>
      <c r="E6" s="66" t="s">
        <v>13</v>
      </c>
      <c r="F6" s="66" t="s">
        <v>12</v>
      </c>
      <c r="G6" s="66" t="s">
        <v>13</v>
      </c>
      <c r="H6" s="72"/>
      <c r="I6" s="72"/>
      <c r="J6" s="6" t="s">
        <v>12</v>
      </c>
      <c r="K6" s="66" t="s">
        <v>13</v>
      </c>
      <c r="L6" s="66" t="s">
        <v>12</v>
      </c>
      <c r="M6" s="66" t="s">
        <v>13</v>
      </c>
      <c r="N6" s="72"/>
      <c r="O6" s="72"/>
      <c r="P6" s="66" t="s">
        <v>12</v>
      </c>
      <c r="Q6" s="66" t="s">
        <v>13</v>
      </c>
      <c r="R6" s="66" t="s">
        <v>12</v>
      </c>
      <c r="S6" s="66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'Jan 2024'!H7</f>
        <v>83.970000000000653</v>
      </c>
      <c r="D7" s="9">
        <v>0</v>
      </c>
      <c r="E7" s="9">
        <f>'Jan 2024'!E7+'Feb 2024'!D7</f>
        <v>0</v>
      </c>
      <c r="F7" s="9">
        <v>0</v>
      </c>
      <c r="G7" s="9">
        <f>'Jan 2024'!G7+'Feb 2024'!F7</f>
        <v>0</v>
      </c>
      <c r="H7" s="9">
        <f>C7+D7-F7</f>
        <v>83.970000000000653</v>
      </c>
      <c r="I7" s="9">
        <f>'Jan 2024'!N7</f>
        <v>210.87099999999998</v>
      </c>
      <c r="J7" s="9">
        <v>0.42</v>
      </c>
      <c r="K7" s="9">
        <f>'Jan 2024'!K7+'Feb 2024'!J7</f>
        <v>36.420000000000009</v>
      </c>
      <c r="L7" s="9">
        <v>0</v>
      </c>
      <c r="M7" s="9">
        <f>'Jan 2024'!M7+'Feb 2024'!L7</f>
        <v>0</v>
      </c>
      <c r="N7" s="9">
        <f>I7+J7-L7</f>
        <v>211.29099999999997</v>
      </c>
      <c r="O7" s="10">
        <f>'Jan 2024'!T7</f>
        <v>264.90000000000009</v>
      </c>
      <c r="P7" s="9">
        <v>0</v>
      </c>
      <c r="Q7" s="9">
        <f>'Jan 2024'!Q7+'Feb 2024'!P7</f>
        <v>0</v>
      </c>
      <c r="R7" s="9">
        <v>0</v>
      </c>
      <c r="S7" s="9">
        <f>'Jan 2024'!S7+'Feb 2024'!R7</f>
        <v>19.239999999999998</v>
      </c>
      <c r="T7" s="10">
        <f>O7+P7-R7</f>
        <v>264.90000000000009</v>
      </c>
      <c r="U7" s="10">
        <f>H7+N7+T7</f>
        <v>560.16100000000074</v>
      </c>
      <c r="V7" s="11"/>
      <c r="W7" s="11"/>
    </row>
    <row r="8" spans="1:183" ht="42.75" customHeight="1">
      <c r="A8" s="7">
        <v>2</v>
      </c>
      <c r="B8" s="8" t="s">
        <v>15</v>
      </c>
      <c r="C8" s="9">
        <f>'Jan 2024'!H8</f>
        <v>499.44499999999977</v>
      </c>
      <c r="D8" s="9">
        <v>0.06</v>
      </c>
      <c r="E8" s="9">
        <f>'Jan 2024'!E8+'Feb 2024'!D8</f>
        <v>1.8900000000000003</v>
      </c>
      <c r="F8" s="9">
        <v>0</v>
      </c>
      <c r="G8" s="9">
        <f>'Jan 2024'!G8+'Feb 2024'!F8</f>
        <v>0</v>
      </c>
      <c r="H8" s="9">
        <f>C8+D8-F8</f>
        <v>499.50499999999977</v>
      </c>
      <c r="I8" s="9">
        <f>'Jan 2024'!N8</f>
        <v>162.221</v>
      </c>
      <c r="J8" s="9">
        <v>1.135</v>
      </c>
      <c r="K8" s="9">
        <f>'Jan 2024'!K8+'Feb 2024'!J8</f>
        <v>20.450000000000003</v>
      </c>
      <c r="L8" s="9">
        <v>0</v>
      </c>
      <c r="M8" s="9">
        <f>'Jan 2024'!M8+'Feb 2024'!L8</f>
        <v>0</v>
      </c>
      <c r="N8" s="9">
        <f>I8+J8-L8</f>
        <v>163.35599999999999</v>
      </c>
      <c r="O8" s="10">
        <f>'Jan 2024'!T8</f>
        <v>222.27000000000004</v>
      </c>
      <c r="P8" s="9">
        <v>0</v>
      </c>
      <c r="Q8" s="9">
        <f>'Jan 2024'!Q8+'Feb 2024'!P8</f>
        <v>0</v>
      </c>
      <c r="R8" s="9">
        <v>0</v>
      </c>
      <c r="S8" s="9">
        <f>'Jan 2024'!S8+'Feb 2024'!R8</f>
        <v>0</v>
      </c>
      <c r="T8" s="10">
        <f>O8+P8-R8</f>
        <v>222.27000000000004</v>
      </c>
      <c r="U8" s="10">
        <f>H8+N8+T8</f>
        <v>885.13099999999986</v>
      </c>
      <c r="V8" s="11"/>
      <c r="W8" s="11"/>
    </row>
    <row r="9" spans="1:183" ht="42.75" customHeight="1">
      <c r="A9" s="7">
        <v>3</v>
      </c>
      <c r="B9" s="8" t="s">
        <v>16</v>
      </c>
      <c r="C9" s="9">
        <f>'Jan 2024'!H9</f>
        <v>653.9599999999997</v>
      </c>
      <c r="D9" s="9">
        <v>0</v>
      </c>
      <c r="E9" s="9">
        <f>'Jan 2024'!E9+'Feb 2024'!D9</f>
        <v>0</v>
      </c>
      <c r="F9" s="9">
        <v>0</v>
      </c>
      <c r="G9" s="9">
        <f>'Jan 2024'!G9+'Feb 2024'!F9</f>
        <v>0</v>
      </c>
      <c r="H9" s="9">
        <f>C9+D9-F9</f>
        <v>653.9599999999997</v>
      </c>
      <c r="I9" s="9">
        <f>'Jan 2024'!N9</f>
        <v>239.00600000000003</v>
      </c>
      <c r="J9" s="9">
        <v>1.3149999999999999</v>
      </c>
      <c r="K9" s="9">
        <f>'Jan 2024'!K9+'Feb 2024'!J9</f>
        <v>24.814999999999998</v>
      </c>
      <c r="L9" s="9">
        <v>0</v>
      </c>
      <c r="M9" s="9">
        <f>'Jan 2024'!M9+'Feb 2024'!L9</f>
        <v>0</v>
      </c>
      <c r="N9" s="9">
        <f>I9+J9-L9</f>
        <v>240.32100000000003</v>
      </c>
      <c r="O9" s="10">
        <f>'Jan 2024'!T9</f>
        <v>811.76999999999964</v>
      </c>
      <c r="P9" s="9">
        <v>0</v>
      </c>
      <c r="Q9" s="9">
        <f>'Jan 2024'!Q9+'Feb 2024'!P9</f>
        <v>545.17999999999995</v>
      </c>
      <c r="R9" s="9">
        <v>0</v>
      </c>
      <c r="S9" s="9">
        <f>'Jan 2024'!S9+'Feb 2024'!R9</f>
        <v>0</v>
      </c>
      <c r="T9" s="10">
        <f>O9+P9-R9</f>
        <v>811.76999999999964</v>
      </c>
      <c r="U9" s="10">
        <f>H9+N9+T9</f>
        <v>1706.0509999999995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'Jan 2024'!H10</f>
        <v>0</v>
      </c>
      <c r="D10" s="9">
        <v>0</v>
      </c>
      <c r="E10" s="9">
        <f>'Jan 2024'!E10+'Feb 2024'!D10</f>
        <v>0</v>
      </c>
      <c r="F10" s="9">
        <v>0</v>
      </c>
      <c r="G10" s="9">
        <f>'Jan 2024'!G10+'Feb 2024'!F10</f>
        <v>0</v>
      </c>
      <c r="H10" s="9">
        <f>C10+D10-F10</f>
        <v>0</v>
      </c>
      <c r="I10" s="9">
        <f>'Jan 2024'!N10</f>
        <v>148.48200000000006</v>
      </c>
      <c r="J10" s="9">
        <v>0.09</v>
      </c>
      <c r="K10" s="9">
        <f>'Jan 2024'!K10+'Feb 2024'!J10</f>
        <v>1.3470000000000002</v>
      </c>
      <c r="L10" s="9">
        <v>0</v>
      </c>
      <c r="M10" s="9">
        <f>'Jan 2024'!M10+'Feb 2024'!L10</f>
        <v>0</v>
      </c>
      <c r="N10" s="9">
        <f>I10+J10-L10</f>
        <v>148.57200000000006</v>
      </c>
      <c r="O10" s="10">
        <f>'Jan 2024'!T10</f>
        <v>234.27999999999997</v>
      </c>
      <c r="P10" s="9">
        <v>0</v>
      </c>
      <c r="Q10" s="9">
        <f>'Jan 2024'!Q10+'Feb 2024'!P10</f>
        <v>0</v>
      </c>
      <c r="R10" s="9">
        <v>0</v>
      </c>
      <c r="S10" s="9">
        <f>'Jan 2024'!S10+'Feb 2024'!R10</f>
        <v>0</v>
      </c>
      <c r="T10" s="10">
        <f>O10+P10-R10</f>
        <v>234.27999999999997</v>
      </c>
      <c r="U10" s="10">
        <f>H10+N10+T10</f>
        <v>382.85200000000003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 t="shared" ref="C11:U11" si="0">SUM(C7:C10)</f>
        <v>1237.375</v>
      </c>
      <c r="D11" s="15">
        <f t="shared" si="0"/>
        <v>0.06</v>
      </c>
      <c r="E11" s="15">
        <f t="shared" si="0"/>
        <v>1.8900000000000003</v>
      </c>
      <c r="F11" s="15">
        <f t="shared" si="0"/>
        <v>0</v>
      </c>
      <c r="G11" s="15">
        <f t="shared" si="0"/>
        <v>0</v>
      </c>
      <c r="H11" s="15">
        <f t="shared" si="0"/>
        <v>1237.4349999999999</v>
      </c>
      <c r="I11" s="15">
        <f t="shared" si="0"/>
        <v>760.58</v>
      </c>
      <c r="J11" s="15">
        <f t="shared" si="0"/>
        <v>2.96</v>
      </c>
      <c r="K11" s="15">
        <f t="shared" si="0"/>
        <v>83.031999999999996</v>
      </c>
      <c r="L11" s="15">
        <f t="shared" si="0"/>
        <v>0</v>
      </c>
      <c r="M11" s="15">
        <f t="shared" si="0"/>
        <v>0</v>
      </c>
      <c r="N11" s="15">
        <f t="shared" si="0"/>
        <v>763.54</v>
      </c>
      <c r="O11" s="15">
        <f t="shared" si="0"/>
        <v>1533.2199999999998</v>
      </c>
      <c r="P11" s="15">
        <f t="shared" si="0"/>
        <v>0</v>
      </c>
      <c r="Q11" s="15">
        <f t="shared" si="0"/>
        <v>545.17999999999995</v>
      </c>
      <c r="R11" s="15">
        <f t="shared" si="0"/>
        <v>0</v>
      </c>
      <c r="S11" s="15">
        <f t="shared" si="0"/>
        <v>19.239999999999998</v>
      </c>
      <c r="T11" s="15">
        <f t="shared" si="0"/>
        <v>1533.2199999999998</v>
      </c>
      <c r="U11" s="15">
        <f t="shared" si="0"/>
        <v>3534.1949999999997</v>
      </c>
      <c r="V11" s="65"/>
      <c r="W11" s="65"/>
    </row>
    <row r="12" spans="1:183" ht="42.75" customHeight="1">
      <c r="A12" s="7">
        <v>5</v>
      </c>
      <c r="B12" s="8" t="s">
        <v>19</v>
      </c>
      <c r="C12" s="9">
        <f>'Jan 2024'!H12</f>
        <v>211.68999999999886</v>
      </c>
      <c r="D12" s="9">
        <v>0</v>
      </c>
      <c r="E12" s="9">
        <f>'Jan 2024'!E12+'Feb 2024'!D12</f>
        <v>0</v>
      </c>
      <c r="F12" s="9">
        <v>0</v>
      </c>
      <c r="G12" s="9">
        <f>'Jan 2024'!G12+'Feb 2024'!F12</f>
        <v>7.2</v>
      </c>
      <c r="H12" s="9">
        <f>C12+D12-F12</f>
        <v>211.68999999999886</v>
      </c>
      <c r="I12" s="9">
        <f>'Jan 2024'!N12</f>
        <v>94.712999999999994</v>
      </c>
      <c r="J12" s="9">
        <v>0.34</v>
      </c>
      <c r="K12" s="9">
        <f>'Jan 2024'!K12+'Feb 2024'!J12</f>
        <v>5.17</v>
      </c>
      <c r="L12" s="9">
        <v>0</v>
      </c>
      <c r="M12" s="9">
        <f>'Jan 2024'!M12+'Feb 2024'!L12</f>
        <v>0</v>
      </c>
      <c r="N12" s="9">
        <f>I12+J12-L12</f>
        <v>95.052999999999997</v>
      </c>
      <c r="O12" s="10">
        <f>'Jan 2024'!T12</f>
        <v>1570.1399999999999</v>
      </c>
      <c r="P12" s="9">
        <v>0</v>
      </c>
      <c r="Q12" s="9">
        <f>'Jan 2024'!Q12+'Feb 2024'!P12</f>
        <v>22.12</v>
      </c>
      <c r="R12" s="9">
        <v>0</v>
      </c>
      <c r="S12" s="9">
        <f>'Jan 2024'!S12+'Feb 2024'!R12</f>
        <v>0</v>
      </c>
      <c r="T12" s="10">
        <f>O12+P12-R12</f>
        <v>1570.1399999999999</v>
      </c>
      <c r="U12" s="10">
        <f>H12+N12+T12</f>
        <v>1876.8829999999987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'Jan 2024'!H13</f>
        <v>1023.7699999999998</v>
      </c>
      <c r="D13" s="9">
        <v>0</v>
      </c>
      <c r="E13" s="9">
        <f>'Jan 2024'!E13+'Feb 2024'!D13</f>
        <v>0</v>
      </c>
      <c r="F13" s="9">
        <v>0</v>
      </c>
      <c r="G13" s="9">
        <f>'Jan 2024'!G13+'Feb 2024'!F13</f>
        <v>0</v>
      </c>
      <c r="H13" s="9">
        <f>C13+D13-F13</f>
        <v>1023.7699999999998</v>
      </c>
      <c r="I13" s="9">
        <f>'Jan 2024'!N13</f>
        <v>165.42400000000006</v>
      </c>
      <c r="J13" s="9">
        <v>1</v>
      </c>
      <c r="K13" s="9">
        <f>'Jan 2024'!K13+'Feb 2024'!J13</f>
        <v>9.4799999999999986</v>
      </c>
      <c r="L13" s="9">
        <v>0</v>
      </c>
      <c r="M13" s="9">
        <f>'Jan 2024'!M13+'Feb 2024'!L13</f>
        <v>0.72</v>
      </c>
      <c r="N13" s="9">
        <f>I13+J13-L13</f>
        <v>166.42400000000006</v>
      </c>
      <c r="O13" s="10">
        <f>'Jan 2024'!T13</f>
        <v>87.23</v>
      </c>
      <c r="P13" s="9">
        <v>0</v>
      </c>
      <c r="Q13" s="9">
        <f>'Jan 2024'!Q13+'Feb 2024'!P13</f>
        <v>0.03</v>
      </c>
      <c r="R13" s="9">
        <v>0</v>
      </c>
      <c r="S13" s="9">
        <f>'Jan 2024'!S13+'Feb 2024'!R13</f>
        <v>0</v>
      </c>
      <c r="T13" s="10">
        <f>O13+P13-R13</f>
        <v>87.23</v>
      </c>
      <c r="U13" s="10">
        <f>H13+N13+T13</f>
        <v>1277.4239999999998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'Jan 2024'!H14</f>
        <v>2075.7999999999993</v>
      </c>
      <c r="D14" s="9">
        <v>0</v>
      </c>
      <c r="E14" s="9">
        <f>'Jan 2024'!E14+'Feb 2024'!D14</f>
        <v>0</v>
      </c>
      <c r="F14" s="9">
        <v>0</v>
      </c>
      <c r="G14" s="9">
        <f>'Jan 2024'!G14+'Feb 2024'!F14</f>
        <v>8.7799999999999994</v>
      </c>
      <c r="H14" s="9">
        <f>C14+D14-F14</f>
        <v>2075.7999999999993</v>
      </c>
      <c r="I14" s="9">
        <f>'Jan 2024'!N14</f>
        <v>213.69400000000002</v>
      </c>
      <c r="J14" s="9">
        <v>1.78</v>
      </c>
      <c r="K14" s="9">
        <f>'Jan 2024'!K14+'Feb 2024'!J14</f>
        <v>14.62</v>
      </c>
      <c r="L14" s="9">
        <v>0</v>
      </c>
      <c r="M14" s="9">
        <f>'Jan 2024'!M14+'Feb 2024'!L14</f>
        <v>8.2799999999999994</v>
      </c>
      <c r="N14" s="9">
        <f>I14+J14-L14</f>
        <v>215.47400000000002</v>
      </c>
      <c r="O14" s="10">
        <f>'Jan 2024'!T14</f>
        <v>412.96999999999991</v>
      </c>
      <c r="P14" s="9">
        <v>0.12</v>
      </c>
      <c r="Q14" s="9">
        <f>'Jan 2024'!Q14+'Feb 2024'!P14</f>
        <v>9.51</v>
      </c>
      <c r="R14" s="9">
        <v>0</v>
      </c>
      <c r="S14" s="9">
        <f>'Jan 2024'!S14+'Feb 2024'!R14</f>
        <v>0</v>
      </c>
      <c r="T14" s="10">
        <f>O14+P14-R14</f>
        <v>413.08999999999992</v>
      </c>
      <c r="U14" s="10">
        <f>H14+N14+T14</f>
        <v>2704.3639999999996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 t="shared" ref="C15:U15" si="1">SUM(C12:C14)</f>
        <v>3311.2599999999979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15.98</v>
      </c>
      <c r="H15" s="15">
        <f t="shared" si="1"/>
        <v>3311.2599999999979</v>
      </c>
      <c r="I15" s="15">
        <f t="shared" si="1"/>
        <v>473.83100000000007</v>
      </c>
      <c r="J15" s="15">
        <f t="shared" si="1"/>
        <v>3.12</v>
      </c>
      <c r="K15" s="15">
        <f t="shared" si="1"/>
        <v>29.269999999999996</v>
      </c>
      <c r="L15" s="15">
        <f t="shared" si="1"/>
        <v>0</v>
      </c>
      <c r="M15" s="15">
        <f t="shared" si="1"/>
        <v>9</v>
      </c>
      <c r="N15" s="15">
        <f t="shared" si="1"/>
        <v>476.95100000000014</v>
      </c>
      <c r="O15" s="15">
        <f t="shared" si="1"/>
        <v>2070.3399999999997</v>
      </c>
      <c r="P15" s="15">
        <f t="shared" si="1"/>
        <v>0.12</v>
      </c>
      <c r="Q15" s="15">
        <f t="shared" si="1"/>
        <v>31.660000000000004</v>
      </c>
      <c r="R15" s="15">
        <f t="shared" si="1"/>
        <v>0</v>
      </c>
      <c r="S15" s="15">
        <f t="shared" si="1"/>
        <v>0</v>
      </c>
      <c r="T15" s="15">
        <f t="shared" si="1"/>
        <v>2070.46</v>
      </c>
      <c r="U15" s="15">
        <f t="shared" si="1"/>
        <v>5858.6709999999985</v>
      </c>
      <c r="V15" s="65"/>
      <c r="W15" s="65"/>
    </row>
    <row r="16" spans="1:183" ht="42.75" customHeight="1">
      <c r="A16" s="7">
        <v>8</v>
      </c>
      <c r="B16" s="8" t="s">
        <v>24</v>
      </c>
      <c r="C16" s="9">
        <f>'Jan 2024'!H16</f>
        <v>1318.0219999999995</v>
      </c>
      <c r="D16" s="9">
        <v>0.39</v>
      </c>
      <c r="E16" s="9">
        <f>'Jan 2024'!E16+'Feb 2024'!D16</f>
        <v>16.68</v>
      </c>
      <c r="F16" s="9">
        <v>5.6</v>
      </c>
      <c r="G16" s="9">
        <f>'Jan 2024'!G16+'Feb 2024'!F16</f>
        <v>11.2</v>
      </c>
      <c r="H16" s="9">
        <f>C16+D16-F16</f>
        <v>1312.8119999999997</v>
      </c>
      <c r="I16" s="9">
        <f>'Jan 2024'!N16</f>
        <v>120.60000000000005</v>
      </c>
      <c r="J16" s="9">
        <v>0.76</v>
      </c>
      <c r="K16" s="9">
        <f>'Jan 2024'!K16+'Feb 2024'!J16</f>
        <v>7.39</v>
      </c>
      <c r="L16" s="9">
        <v>0</v>
      </c>
      <c r="M16" s="9">
        <f>'Jan 2024'!M16+'Feb 2024'!L16</f>
        <v>0</v>
      </c>
      <c r="N16" s="9">
        <f>I16+J16-L16</f>
        <v>121.36000000000006</v>
      </c>
      <c r="O16" s="10">
        <f>'Jan 2024'!T16</f>
        <v>980.90900000000011</v>
      </c>
      <c r="P16" s="9">
        <v>2.86</v>
      </c>
      <c r="Q16" s="9">
        <f>'Jan 2024'!Q16+'Feb 2024'!P16</f>
        <v>108.52</v>
      </c>
      <c r="R16" s="9">
        <v>0</v>
      </c>
      <c r="S16" s="9">
        <f>'Jan 2024'!S16+'Feb 2024'!R16</f>
        <v>0</v>
      </c>
      <c r="T16" s="9">
        <f>O16+P16-R16</f>
        <v>983.76900000000012</v>
      </c>
      <c r="U16" s="10">
        <f>H16+N16+T16</f>
        <v>2417.9409999999998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'Jan 2024'!H17</f>
        <v>236.65399999999988</v>
      </c>
      <c r="D17" s="9">
        <v>0</v>
      </c>
      <c r="E17" s="9">
        <f>'Jan 2024'!E17+'Feb 2024'!D17</f>
        <v>0</v>
      </c>
      <c r="F17" s="9">
        <v>0.2</v>
      </c>
      <c r="G17" s="9">
        <f>'Jan 2024'!G17+'Feb 2024'!F17</f>
        <v>2.9000000000000004</v>
      </c>
      <c r="H17" s="9">
        <f>C17+D17-F17</f>
        <v>236.45399999999989</v>
      </c>
      <c r="I17" s="9">
        <f>'Jan 2024'!N17</f>
        <v>31.556999999999995</v>
      </c>
      <c r="J17" s="9">
        <v>0.16</v>
      </c>
      <c r="K17" s="9">
        <f>'Jan 2024'!K17+'Feb 2024'!J17</f>
        <v>2.02</v>
      </c>
      <c r="L17" s="9">
        <v>0</v>
      </c>
      <c r="M17" s="9">
        <f>'Jan 2024'!M17+'Feb 2024'!L17</f>
        <v>0</v>
      </c>
      <c r="N17" s="9">
        <f>I17+J17-L17</f>
        <v>31.716999999999995</v>
      </c>
      <c r="O17" s="10">
        <f>'Jan 2024'!T17</f>
        <v>501.90100000000001</v>
      </c>
      <c r="P17" s="9">
        <v>0.2</v>
      </c>
      <c r="Q17" s="9">
        <f>'Jan 2024'!Q17+'Feb 2024'!P17</f>
        <v>87.56</v>
      </c>
      <c r="R17" s="9">
        <v>0</v>
      </c>
      <c r="S17" s="9">
        <f>'Jan 2024'!S17+'Feb 2024'!R17</f>
        <v>0</v>
      </c>
      <c r="T17" s="9">
        <f>O17+P17-R17</f>
        <v>502.101</v>
      </c>
      <c r="U17" s="10">
        <f>H17+N17+T17</f>
        <v>770.27199999999993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'Jan 2024'!H18</f>
        <v>478.13499999999931</v>
      </c>
      <c r="D18" s="9">
        <v>0</v>
      </c>
      <c r="E18" s="9">
        <f>'Jan 2024'!E18+'Feb 2024'!D18</f>
        <v>0</v>
      </c>
      <c r="F18" s="9">
        <v>0</v>
      </c>
      <c r="G18" s="9">
        <f>'Jan 2024'!G18+'Feb 2024'!F18</f>
        <v>0</v>
      </c>
      <c r="H18" s="9">
        <f>C18+D18-F18</f>
        <v>478.13499999999931</v>
      </c>
      <c r="I18" s="9">
        <f>'Jan 2024'!N18</f>
        <v>17.169999999999991</v>
      </c>
      <c r="J18" s="9">
        <v>0</v>
      </c>
      <c r="K18" s="9">
        <f>'Jan 2024'!K18+'Feb 2024'!J18</f>
        <v>3.4899999999999998</v>
      </c>
      <c r="L18" s="9">
        <v>0</v>
      </c>
      <c r="M18" s="9">
        <f>'Jan 2024'!M18+'Feb 2024'!L18</f>
        <v>1.46</v>
      </c>
      <c r="N18" s="9">
        <f>I18+J18-L18</f>
        <v>17.169999999999991</v>
      </c>
      <c r="O18" s="10">
        <f>'Jan 2024'!T18</f>
        <v>481.20799999999997</v>
      </c>
      <c r="P18" s="9">
        <v>0</v>
      </c>
      <c r="Q18" s="9">
        <f>'Jan 2024'!Q18+'Feb 2024'!P18</f>
        <v>1.07</v>
      </c>
      <c r="R18" s="9">
        <v>0</v>
      </c>
      <c r="S18" s="9">
        <f>'Jan 2024'!S18+'Feb 2024'!R18</f>
        <v>0.7</v>
      </c>
      <c r="T18" s="9">
        <f>O18+P18-R18</f>
        <v>481.20799999999997</v>
      </c>
      <c r="U18" s="10">
        <f>H18+N18+T18</f>
        <v>976.51299999999924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 t="shared" ref="C19:U19" si="2">SUM(C16:C18)</f>
        <v>2032.8109999999988</v>
      </c>
      <c r="D19" s="15">
        <f t="shared" si="2"/>
        <v>0.39</v>
      </c>
      <c r="E19" s="15">
        <f t="shared" si="2"/>
        <v>16.68</v>
      </c>
      <c r="F19" s="15">
        <f t="shared" si="2"/>
        <v>5.8</v>
      </c>
      <c r="G19" s="15">
        <f t="shared" si="2"/>
        <v>14.1</v>
      </c>
      <c r="H19" s="15">
        <f t="shared" si="2"/>
        <v>2027.4009999999989</v>
      </c>
      <c r="I19" s="15">
        <f t="shared" si="2"/>
        <v>169.32700000000003</v>
      </c>
      <c r="J19" s="15">
        <f t="shared" si="2"/>
        <v>0.92</v>
      </c>
      <c r="K19" s="15">
        <f t="shared" si="2"/>
        <v>12.9</v>
      </c>
      <c r="L19" s="15">
        <f t="shared" si="2"/>
        <v>0</v>
      </c>
      <c r="M19" s="15">
        <f t="shared" si="2"/>
        <v>1.46</v>
      </c>
      <c r="N19" s="15">
        <f t="shared" si="2"/>
        <v>170.24700000000004</v>
      </c>
      <c r="O19" s="15">
        <f t="shared" si="2"/>
        <v>1964.018</v>
      </c>
      <c r="P19" s="15">
        <f t="shared" si="2"/>
        <v>3.06</v>
      </c>
      <c r="Q19" s="15">
        <f t="shared" si="2"/>
        <v>197.14999999999998</v>
      </c>
      <c r="R19" s="15">
        <f t="shared" si="2"/>
        <v>0</v>
      </c>
      <c r="S19" s="15">
        <f t="shared" si="2"/>
        <v>0.7</v>
      </c>
      <c r="T19" s="15">
        <f t="shared" si="2"/>
        <v>1967.078</v>
      </c>
      <c r="U19" s="15">
        <f t="shared" si="2"/>
        <v>4164.7259999999987</v>
      </c>
      <c r="V19" s="65"/>
      <c r="W19" s="65"/>
    </row>
    <row r="20" spans="1:23" ht="42.75" customHeight="1">
      <c r="A20" s="7">
        <v>11</v>
      </c>
      <c r="B20" s="8" t="s">
        <v>28</v>
      </c>
      <c r="C20" s="9">
        <f>'Jan 2024'!H20</f>
        <v>1024.4549999999992</v>
      </c>
      <c r="D20" s="9">
        <v>0</v>
      </c>
      <c r="E20" s="9">
        <f>'Jan 2024'!E20+'Feb 2024'!D20</f>
        <v>0</v>
      </c>
      <c r="F20" s="9">
        <v>0</v>
      </c>
      <c r="G20" s="9">
        <f>'Jan 2024'!G20+'Feb 2024'!F20</f>
        <v>0</v>
      </c>
      <c r="H20" s="9">
        <f>C20+D20-F20</f>
        <v>1024.4549999999992</v>
      </c>
      <c r="I20" s="9">
        <f>'Jan 2024'!N20</f>
        <v>157.88100000000014</v>
      </c>
      <c r="J20" s="9">
        <v>0.22</v>
      </c>
      <c r="K20" s="9">
        <f>'Jan 2024'!K20+'Feb 2024'!J20</f>
        <v>2.8600000000000003</v>
      </c>
      <c r="L20" s="9">
        <v>0</v>
      </c>
      <c r="M20" s="9">
        <f>'Jan 2024'!M20+'Feb 2024'!L20</f>
        <v>0</v>
      </c>
      <c r="N20" s="9">
        <f>I20+J20-L20</f>
        <v>158.10100000000014</v>
      </c>
      <c r="O20" s="10">
        <f>'Jan 2024'!T20</f>
        <v>745.72099999999989</v>
      </c>
      <c r="P20" s="9">
        <v>0.31</v>
      </c>
      <c r="Q20" s="9">
        <f>'Jan 2024'!Q20+'Feb 2024'!P20</f>
        <v>3.31</v>
      </c>
      <c r="R20" s="9">
        <v>0</v>
      </c>
      <c r="S20" s="9">
        <f>'Jan 2024'!S20+'Feb 2024'!R20</f>
        <v>0</v>
      </c>
      <c r="T20" s="10">
        <f>O20+P20-R20</f>
        <v>746.03099999999984</v>
      </c>
      <c r="U20" s="10">
        <f>H20+N20+T20</f>
        <v>1928.5869999999991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'Jan 2024'!H21</f>
        <v>52.019999999999882</v>
      </c>
      <c r="D21" s="9">
        <v>0</v>
      </c>
      <c r="E21" s="9">
        <f>'Jan 2024'!E21+'Feb 2024'!D21</f>
        <v>0</v>
      </c>
      <c r="F21" s="9">
        <v>0</v>
      </c>
      <c r="G21" s="9">
        <f>'Jan 2024'!G21+'Feb 2024'!F21</f>
        <v>90.67</v>
      </c>
      <c r="H21" s="9">
        <f>C21+D21-F21</f>
        <v>52.019999999999882</v>
      </c>
      <c r="I21" s="9">
        <f>'Jan 2024'!N21</f>
        <v>56.453000000000017</v>
      </c>
      <c r="J21" s="9">
        <v>0.02</v>
      </c>
      <c r="K21" s="9">
        <f>'Jan 2024'!K21+'Feb 2024'!J21</f>
        <v>3.6900000000000004</v>
      </c>
      <c r="L21" s="9">
        <v>0</v>
      </c>
      <c r="M21" s="9">
        <f>'Jan 2024'!M21+'Feb 2024'!L21</f>
        <v>0</v>
      </c>
      <c r="N21" s="9">
        <f>I21+J21-L21</f>
        <v>56.47300000000002</v>
      </c>
      <c r="O21" s="10">
        <f>'Jan 2024'!T21</f>
        <v>315.22999999999996</v>
      </c>
      <c r="P21" s="9">
        <v>0</v>
      </c>
      <c r="Q21" s="9">
        <f>'Jan 2024'!Q21+'Feb 2024'!P21</f>
        <v>6.81</v>
      </c>
      <c r="R21" s="9">
        <v>0</v>
      </c>
      <c r="S21" s="9">
        <f>'Jan 2024'!S21+'Feb 2024'!R21</f>
        <v>2.48</v>
      </c>
      <c r="T21" s="10">
        <f>O21+P21-R21</f>
        <v>315.22999999999996</v>
      </c>
      <c r="U21" s="10">
        <f>H21+N21+T21</f>
        <v>423.72299999999984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'Jan 2024'!H22</f>
        <v>27.069999999999879</v>
      </c>
      <c r="D22" s="9">
        <v>0</v>
      </c>
      <c r="E22" s="9">
        <f>'Jan 2024'!E22+'Feb 2024'!D22</f>
        <v>0</v>
      </c>
      <c r="F22" s="9">
        <v>0</v>
      </c>
      <c r="G22" s="9">
        <f>'Jan 2024'!G22+'Feb 2024'!F22</f>
        <v>0</v>
      </c>
      <c r="H22" s="9">
        <f>C22+D22-F22</f>
        <v>27.069999999999879</v>
      </c>
      <c r="I22" s="9">
        <f>'Jan 2024'!N22</f>
        <v>16.320000000000004</v>
      </c>
      <c r="J22" s="9">
        <v>0</v>
      </c>
      <c r="K22" s="9">
        <f>'Jan 2024'!K22+'Feb 2024'!J22</f>
        <v>0.38</v>
      </c>
      <c r="L22" s="9">
        <v>0</v>
      </c>
      <c r="M22" s="9">
        <f>'Jan 2024'!M22+'Feb 2024'!L22</f>
        <v>0</v>
      </c>
      <c r="N22" s="9">
        <f>I22+J22-L22</f>
        <v>16.320000000000004</v>
      </c>
      <c r="O22" s="10">
        <f>'Jan 2024'!T22</f>
        <v>776.75999999999965</v>
      </c>
      <c r="P22" s="9">
        <v>0.04</v>
      </c>
      <c r="Q22" s="9">
        <f>'Jan 2024'!Q22+'Feb 2024'!P22</f>
        <v>0.77</v>
      </c>
      <c r="R22" s="9">
        <v>0</v>
      </c>
      <c r="S22" s="9">
        <f>'Jan 2024'!S22+'Feb 2024'!R22</f>
        <v>0</v>
      </c>
      <c r="T22" s="10">
        <f>O22+P22-R22</f>
        <v>776.79999999999961</v>
      </c>
      <c r="U22" s="10">
        <f>H22+N22+T22</f>
        <v>820.18999999999949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'Jan 2024'!H23</f>
        <v>1150.1319999999998</v>
      </c>
      <c r="D23" s="9">
        <v>0.93</v>
      </c>
      <c r="E23" s="9">
        <f>'Jan 2024'!E23+'Feb 2024'!D23</f>
        <v>17.859999999999996</v>
      </c>
      <c r="F23" s="9">
        <v>0</v>
      </c>
      <c r="G23" s="9">
        <f>'Jan 2024'!G23+'Feb 2024'!F23</f>
        <v>0</v>
      </c>
      <c r="H23" s="9">
        <f>C23+D23-F23</f>
        <v>1151.0619999999999</v>
      </c>
      <c r="I23" s="9">
        <f>'Jan 2024'!N23</f>
        <v>56.303999999999988</v>
      </c>
      <c r="J23" s="9">
        <v>2.39</v>
      </c>
      <c r="K23" s="9">
        <f>'Jan 2024'!K23+'Feb 2024'!J23</f>
        <v>8.4899999999999984</v>
      </c>
      <c r="L23" s="9">
        <v>0</v>
      </c>
      <c r="M23" s="9">
        <f>'Jan 2024'!M23+'Feb 2024'!L23</f>
        <v>0</v>
      </c>
      <c r="N23" s="9">
        <f>I23+J23-L23</f>
        <v>58.693999999999988</v>
      </c>
      <c r="O23" s="10">
        <f>'Jan 2024'!T23</f>
        <v>415.61499999999995</v>
      </c>
      <c r="P23" s="9">
        <v>0</v>
      </c>
      <c r="Q23" s="9">
        <f>'Jan 2024'!Q23+'Feb 2024'!P23</f>
        <v>10.780000000000001</v>
      </c>
      <c r="R23" s="9">
        <v>0</v>
      </c>
      <c r="S23" s="9">
        <f>'Jan 2024'!S23+'Feb 2024'!R23</f>
        <v>0</v>
      </c>
      <c r="T23" s="10">
        <f>O23+P23-R23</f>
        <v>415.61499999999995</v>
      </c>
      <c r="U23" s="10">
        <f>H23+N23+T23</f>
        <v>1625.3709999999999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 t="shared" ref="C24:U24" si="3">SUM(C20:C23)</f>
        <v>2253.6769999999988</v>
      </c>
      <c r="D24" s="15">
        <f t="shared" si="3"/>
        <v>0.93</v>
      </c>
      <c r="E24" s="15">
        <f t="shared" si="3"/>
        <v>17.859999999999996</v>
      </c>
      <c r="F24" s="15">
        <f t="shared" si="3"/>
        <v>0</v>
      </c>
      <c r="G24" s="15">
        <f t="shared" si="3"/>
        <v>90.67</v>
      </c>
      <c r="H24" s="15">
        <f t="shared" si="3"/>
        <v>2254.6069999999991</v>
      </c>
      <c r="I24" s="15">
        <f t="shared" si="3"/>
        <v>286.95800000000014</v>
      </c>
      <c r="J24" s="15">
        <f t="shared" si="3"/>
        <v>2.63</v>
      </c>
      <c r="K24" s="15">
        <f t="shared" si="3"/>
        <v>15.419999999999998</v>
      </c>
      <c r="L24" s="15">
        <f t="shared" si="3"/>
        <v>0</v>
      </c>
      <c r="M24" s="15">
        <f t="shared" si="3"/>
        <v>0</v>
      </c>
      <c r="N24" s="15">
        <f t="shared" si="3"/>
        <v>289.58800000000014</v>
      </c>
      <c r="O24" s="15">
        <f t="shared" si="3"/>
        <v>2253.3259999999991</v>
      </c>
      <c r="P24" s="15">
        <f t="shared" si="3"/>
        <v>0.35</v>
      </c>
      <c r="Q24" s="15">
        <f t="shared" si="3"/>
        <v>21.67</v>
      </c>
      <c r="R24" s="15">
        <f t="shared" si="3"/>
        <v>0</v>
      </c>
      <c r="S24" s="15">
        <f t="shared" si="3"/>
        <v>2.48</v>
      </c>
      <c r="T24" s="15">
        <f t="shared" si="3"/>
        <v>2253.675999999999</v>
      </c>
      <c r="U24" s="15">
        <f t="shared" si="3"/>
        <v>4797.8709999999983</v>
      </c>
      <c r="V24" s="65"/>
      <c r="W24" s="65"/>
    </row>
    <row r="25" spans="1:23" s="16" customFormat="1" ht="42.75" customHeight="1">
      <c r="A25" s="13"/>
      <c r="B25" s="14" t="s">
        <v>33</v>
      </c>
      <c r="C25" s="15">
        <f t="shared" ref="C25:U25" si="4">C24+C19+C15+C11</f>
        <v>8835.122999999996</v>
      </c>
      <c r="D25" s="15">
        <f t="shared" si="4"/>
        <v>1.3800000000000001</v>
      </c>
      <c r="E25" s="15">
        <f t="shared" si="4"/>
        <v>36.429999999999993</v>
      </c>
      <c r="F25" s="15">
        <f t="shared" si="4"/>
        <v>5.8</v>
      </c>
      <c r="G25" s="15">
        <f t="shared" si="4"/>
        <v>120.75</v>
      </c>
      <c r="H25" s="15">
        <f t="shared" si="4"/>
        <v>8830.7029999999959</v>
      </c>
      <c r="I25" s="15">
        <f t="shared" si="4"/>
        <v>1690.6960000000004</v>
      </c>
      <c r="J25" s="15">
        <f t="shared" si="4"/>
        <v>9.629999999999999</v>
      </c>
      <c r="K25" s="15">
        <f t="shared" si="4"/>
        <v>140.62199999999999</v>
      </c>
      <c r="L25" s="15">
        <f t="shared" si="4"/>
        <v>0</v>
      </c>
      <c r="M25" s="15">
        <f t="shared" si="4"/>
        <v>10.46</v>
      </c>
      <c r="N25" s="15">
        <f t="shared" si="4"/>
        <v>1700.3260000000002</v>
      </c>
      <c r="O25" s="15">
        <f t="shared" si="4"/>
        <v>7820.9039999999986</v>
      </c>
      <c r="P25" s="15">
        <f t="shared" si="4"/>
        <v>3.5300000000000002</v>
      </c>
      <c r="Q25" s="15">
        <f t="shared" si="4"/>
        <v>795.66</v>
      </c>
      <c r="R25" s="15">
        <f t="shared" si="4"/>
        <v>0</v>
      </c>
      <c r="S25" s="15">
        <f t="shared" si="4"/>
        <v>22.419999999999998</v>
      </c>
      <c r="T25" s="15">
        <f t="shared" si="4"/>
        <v>7824.4339999999993</v>
      </c>
      <c r="U25" s="15">
        <f t="shared" si="4"/>
        <v>18355.462999999996</v>
      </c>
      <c r="V25" s="65"/>
      <c r="W25" s="65"/>
    </row>
    <row r="26" spans="1:23" ht="42.75" customHeight="1">
      <c r="A26" s="7">
        <v>15</v>
      </c>
      <c r="B26" s="8" t="s">
        <v>34</v>
      </c>
      <c r="C26" s="9">
        <f>'Jan 2024'!H26</f>
        <v>1317.3419999999999</v>
      </c>
      <c r="D26" s="9">
        <v>5.96</v>
      </c>
      <c r="E26" s="9">
        <f>'Jan 2024'!E26+'Feb 2024'!D26</f>
        <v>85.320000000000007</v>
      </c>
      <c r="F26" s="9">
        <v>0</v>
      </c>
      <c r="G26" s="9">
        <f>'Jan 2024'!G26+'Feb 2024'!F26</f>
        <v>0.02</v>
      </c>
      <c r="H26" s="9">
        <f>C26+D26-F26</f>
        <v>1323.3019999999999</v>
      </c>
      <c r="I26" s="9">
        <f>'Jan 2024'!N26</f>
        <v>0.78</v>
      </c>
      <c r="J26" s="9">
        <v>0</v>
      </c>
      <c r="K26" s="9">
        <f>'Jan 2024'!K26+'Feb 2024'!J26</f>
        <v>0.67</v>
      </c>
      <c r="L26" s="9">
        <v>0</v>
      </c>
      <c r="M26" s="9">
        <f>'Jan 2024'!M26+'Feb 2024'!L26</f>
        <v>0</v>
      </c>
      <c r="N26" s="9">
        <f>I26+J26-L26</f>
        <v>0.78</v>
      </c>
      <c r="O26" s="10">
        <f>'Jan 2024'!T26</f>
        <v>206.86</v>
      </c>
      <c r="P26" s="9">
        <v>0.12</v>
      </c>
      <c r="Q26" s="9">
        <f>'Jan 2024'!Q26+'Feb 2024'!P26</f>
        <v>3.25</v>
      </c>
      <c r="R26" s="9">
        <v>0</v>
      </c>
      <c r="S26" s="9">
        <f>'Jan 2024'!S26+'Feb 2024'!R26</f>
        <v>0</v>
      </c>
      <c r="T26" s="10">
        <f>O26+P26-R26</f>
        <v>206.98000000000002</v>
      </c>
      <c r="U26" s="10">
        <f>H26+N26+T26</f>
        <v>1531.0619999999999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'Jan 2024'!H27</f>
        <v>10510.756999999994</v>
      </c>
      <c r="D27" s="9">
        <v>8.6</v>
      </c>
      <c r="E27" s="9">
        <f>'Jan 2024'!E27+'Feb 2024'!D27</f>
        <v>105.19999999999999</v>
      </c>
      <c r="F27" s="9">
        <v>0</v>
      </c>
      <c r="G27" s="9">
        <f>'Jan 2024'!G27+'Feb 2024'!F27</f>
        <v>0</v>
      </c>
      <c r="H27" s="9">
        <f>C27+D27-F27</f>
        <v>10519.356999999995</v>
      </c>
      <c r="I27" s="9">
        <f>'Jan 2024'!N27</f>
        <v>450.57499999999993</v>
      </c>
      <c r="J27" s="9">
        <v>4.72</v>
      </c>
      <c r="K27" s="9">
        <f>'Jan 2024'!K27+'Feb 2024'!J27</f>
        <v>46.859999999999992</v>
      </c>
      <c r="L27" s="9">
        <v>0</v>
      </c>
      <c r="M27" s="9">
        <f>'Jan 2024'!M27+'Feb 2024'!L27</f>
        <v>0</v>
      </c>
      <c r="N27" s="9">
        <f>I27+J27-L27</f>
        <v>455.29499999999996</v>
      </c>
      <c r="O27" s="10">
        <f>'Jan 2024'!T27</f>
        <v>51.860000000000021</v>
      </c>
      <c r="P27" s="9">
        <v>2.2000000000000002</v>
      </c>
      <c r="Q27" s="9">
        <f>'Jan 2024'!Q27+'Feb 2024'!P27</f>
        <v>10.54</v>
      </c>
      <c r="R27" s="9">
        <v>0</v>
      </c>
      <c r="S27" s="9">
        <f>'Jan 2024'!S27+'Feb 2024'!R27</f>
        <v>0</v>
      </c>
      <c r="T27" s="10">
        <f>O27+P27-R27</f>
        <v>54.060000000000024</v>
      </c>
      <c r="U27" s="10">
        <f>H27+N27+T27</f>
        <v>11028.711999999994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 t="shared" ref="C28:U28" si="5">SUM(C26:C27)</f>
        <v>11828.098999999995</v>
      </c>
      <c r="D28" s="15">
        <f t="shared" si="5"/>
        <v>14.559999999999999</v>
      </c>
      <c r="E28" s="15">
        <f t="shared" si="5"/>
        <v>190.51999999999998</v>
      </c>
      <c r="F28" s="15">
        <f t="shared" si="5"/>
        <v>0</v>
      </c>
      <c r="G28" s="15">
        <f t="shared" si="5"/>
        <v>0.02</v>
      </c>
      <c r="H28" s="15">
        <f t="shared" si="5"/>
        <v>11842.658999999994</v>
      </c>
      <c r="I28" s="15">
        <f t="shared" si="5"/>
        <v>451.3549999999999</v>
      </c>
      <c r="J28" s="15">
        <f t="shared" si="5"/>
        <v>4.72</v>
      </c>
      <c r="K28" s="15">
        <f t="shared" si="5"/>
        <v>47.529999999999994</v>
      </c>
      <c r="L28" s="15">
        <f t="shared" si="5"/>
        <v>0</v>
      </c>
      <c r="M28" s="15">
        <f t="shared" si="5"/>
        <v>0</v>
      </c>
      <c r="N28" s="15">
        <f t="shared" si="5"/>
        <v>456.07499999999993</v>
      </c>
      <c r="O28" s="15">
        <f t="shared" si="5"/>
        <v>258.72000000000003</v>
      </c>
      <c r="P28" s="15">
        <f t="shared" si="5"/>
        <v>2.3200000000000003</v>
      </c>
      <c r="Q28" s="15">
        <f t="shared" si="5"/>
        <v>13.79</v>
      </c>
      <c r="R28" s="15">
        <f t="shared" si="5"/>
        <v>0</v>
      </c>
      <c r="S28" s="15">
        <f t="shared" si="5"/>
        <v>0</v>
      </c>
      <c r="T28" s="15">
        <f t="shared" si="5"/>
        <v>261.04000000000002</v>
      </c>
      <c r="U28" s="15">
        <f t="shared" si="5"/>
        <v>12559.773999999994</v>
      </c>
      <c r="V28" s="65"/>
      <c r="W28" s="65"/>
    </row>
    <row r="29" spans="1:23" ht="42.75" customHeight="1">
      <c r="A29" s="7">
        <v>17</v>
      </c>
      <c r="B29" s="8" t="s">
        <v>37</v>
      </c>
      <c r="C29" s="9">
        <f>'Jan 2024'!H29</f>
        <v>4670.2540000000008</v>
      </c>
      <c r="D29" s="9">
        <v>12.85</v>
      </c>
      <c r="E29" s="9">
        <f>'Jan 2024'!E29+'Feb 2024'!D29</f>
        <v>132.065</v>
      </c>
      <c r="F29" s="9">
        <v>0</v>
      </c>
      <c r="G29" s="9">
        <f>'Jan 2024'!G29+'Feb 2024'!F29</f>
        <v>0</v>
      </c>
      <c r="H29" s="9">
        <f>C29+D29-F29</f>
        <v>4683.1040000000012</v>
      </c>
      <c r="I29" s="9">
        <f>'Jan 2024'!N29</f>
        <v>185.37</v>
      </c>
      <c r="J29" s="9">
        <v>0.14000000000000001</v>
      </c>
      <c r="K29" s="9">
        <f>'Jan 2024'!K29+'Feb 2024'!J29</f>
        <v>0.81</v>
      </c>
      <c r="L29" s="9">
        <v>0</v>
      </c>
      <c r="M29" s="9">
        <f>'Jan 2024'!M29+'Feb 2024'!L29</f>
        <v>0</v>
      </c>
      <c r="N29" s="9">
        <f>I29+J29-L29</f>
        <v>185.51</v>
      </c>
      <c r="O29" s="10">
        <f>'Jan 2024'!T29</f>
        <v>782.23599999999988</v>
      </c>
      <c r="P29" s="9">
        <f>0.91+7.65</f>
        <v>8.56</v>
      </c>
      <c r="Q29" s="9">
        <f>'Jan 2024'!Q29+'Feb 2024'!P29</f>
        <v>273.52599999999995</v>
      </c>
      <c r="R29" s="9">
        <v>0</v>
      </c>
      <c r="S29" s="9">
        <f>'Jan 2024'!S29+'Feb 2024'!R29</f>
        <v>0</v>
      </c>
      <c r="T29" s="10">
        <f>O29+P29-R29</f>
        <v>790.79599999999982</v>
      </c>
      <c r="U29" s="10">
        <f>H29+N29+T29</f>
        <v>5659.4100000000017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'Jan 2024'!H30</f>
        <v>6583.452000000002</v>
      </c>
      <c r="D30" s="9">
        <v>18.29</v>
      </c>
      <c r="E30" s="9">
        <f>'Jan 2024'!E30+'Feb 2024'!D30</f>
        <v>150.74999999999997</v>
      </c>
      <c r="F30" s="9">
        <v>0</v>
      </c>
      <c r="G30" s="9">
        <f>'Jan 2024'!G30+'Feb 2024'!F30</f>
        <v>0</v>
      </c>
      <c r="H30" s="9">
        <f>C30+D30-F30</f>
        <v>6601.742000000002</v>
      </c>
      <c r="I30" s="9">
        <f>'Jan 2024'!N30</f>
        <v>134.93</v>
      </c>
      <c r="J30" s="9">
        <v>0</v>
      </c>
      <c r="K30" s="9">
        <f>'Jan 2024'!K30+'Feb 2024'!J30</f>
        <v>4.13</v>
      </c>
      <c r="L30" s="9">
        <v>0</v>
      </c>
      <c r="M30" s="9">
        <f>'Jan 2024'!M30+'Feb 2024'!L30</f>
        <v>0</v>
      </c>
      <c r="N30" s="9">
        <f>I30+J30-L30</f>
        <v>134.93</v>
      </c>
      <c r="O30" s="10">
        <f>'Jan 2024'!T30</f>
        <v>311.12</v>
      </c>
      <c r="P30" s="9">
        <v>0</v>
      </c>
      <c r="Q30" s="9">
        <f>'Jan 2024'!Q30+'Feb 2024'!P30</f>
        <v>116.33999999999999</v>
      </c>
      <c r="R30" s="9">
        <v>0</v>
      </c>
      <c r="S30" s="9">
        <f>'Jan 2024'!S30+'Feb 2024'!R30</f>
        <v>0</v>
      </c>
      <c r="T30" s="10">
        <f>O30+P30-R30</f>
        <v>311.12</v>
      </c>
      <c r="U30" s="10">
        <f>H30+N30+T30</f>
        <v>7047.7920000000022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'Jan 2024'!H31</f>
        <v>3163.3329999999996</v>
      </c>
      <c r="D31" s="9">
        <v>0.87</v>
      </c>
      <c r="E31" s="9">
        <f>'Jan 2024'!E31+'Feb 2024'!D31</f>
        <v>35.848000000000006</v>
      </c>
      <c r="F31" s="9">
        <v>0</v>
      </c>
      <c r="G31" s="9">
        <f>'Jan 2024'!G31+'Feb 2024'!F31</f>
        <v>0</v>
      </c>
      <c r="H31" s="9">
        <f>C31+D31-F31</f>
        <v>3164.2029999999995</v>
      </c>
      <c r="I31" s="9">
        <f>'Jan 2024'!N31</f>
        <v>50.180000000000007</v>
      </c>
      <c r="J31" s="9">
        <v>0</v>
      </c>
      <c r="K31" s="9">
        <f>'Jan 2024'!K31+'Feb 2024'!J31</f>
        <v>0</v>
      </c>
      <c r="L31" s="9">
        <v>0</v>
      </c>
      <c r="M31" s="9">
        <f>'Jan 2024'!M31+'Feb 2024'!L31</f>
        <v>0</v>
      </c>
      <c r="N31" s="9">
        <f>I31+J31-L31</f>
        <v>50.180000000000007</v>
      </c>
      <c r="O31" s="10">
        <f>'Jan 2024'!T31</f>
        <v>244.44</v>
      </c>
      <c r="P31" s="9">
        <v>0</v>
      </c>
      <c r="Q31" s="9">
        <f>'Jan 2024'!Q31+'Feb 2024'!P31</f>
        <v>0</v>
      </c>
      <c r="R31" s="9">
        <v>0</v>
      </c>
      <c r="S31" s="9">
        <f>'Jan 2024'!S31+'Feb 2024'!R31</f>
        <v>0</v>
      </c>
      <c r="T31" s="10">
        <f>O31+P31-R31</f>
        <v>244.44</v>
      </c>
      <c r="U31" s="10">
        <f>H31+N31+T31</f>
        <v>3458.8229999999994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'Jan 2024'!H32</f>
        <v>4446.1799999999994</v>
      </c>
      <c r="D32" s="9">
        <v>5.8</v>
      </c>
      <c r="E32" s="9">
        <f>'Jan 2024'!E32+'Feb 2024'!D32</f>
        <v>50.699999999999989</v>
      </c>
      <c r="F32" s="9">
        <v>0</v>
      </c>
      <c r="G32" s="9">
        <f>'Jan 2024'!G32+'Feb 2024'!F32</f>
        <v>0</v>
      </c>
      <c r="H32" s="9">
        <f>C32+D32-F32</f>
        <v>4451.9799999999996</v>
      </c>
      <c r="I32" s="9">
        <f>'Jan 2024'!N32</f>
        <v>255.41599999999994</v>
      </c>
      <c r="J32" s="9">
        <v>1.2</v>
      </c>
      <c r="K32" s="9">
        <f>'Jan 2024'!K32+'Feb 2024'!J32</f>
        <v>30.236000000000004</v>
      </c>
      <c r="L32" s="9">
        <v>0</v>
      </c>
      <c r="M32" s="9">
        <f>'Jan 2024'!M32+'Feb 2024'!L32</f>
        <v>0</v>
      </c>
      <c r="N32" s="9">
        <f>I32+J32-L32</f>
        <v>256.61599999999993</v>
      </c>
      <c r="O32" s="10">
        <f>'Jan 2024'!T32</f>
        <v>243.81999999999996</v>
      </c>
      <c r="P32" s="9">
        <v>0</v>
      </c>
      <c r="Q32" s="9">
        <f>'Jan 2024'!Q32+'Feb 2024'!P32</f>
        <v>0.16999999999999998</v>
      </c>
      <c r="R32" s="9">
        <v>0</v>
      </c>
      <c r="S32" s="9">
        <f>'Jan 2024'!S32+'Feb 2024'!R32</f>
        <v>0</v>
      </c>
      <c r="T32" s="10">
        <f>O32+P32-R32</f>
        <v>243.81999999999996</v>
      </c>
      <c r="U32" s="10">
        <f>H32+N32+T32</f>
        <v>4952.4159999999993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 t="shared" ref="C33:U33" si="6">SUM(C29:C32)</f>
        <v>18863.219000000001</v>
      </c>
      <c r="D33" s="15">
        <f t="shared" si="6"/>
        <v>37.809999999999995</v>
      </c>
      <c r="E33" s="15">
        <f t="shared" si="6"/>
        <v>369.36299999999994</v>
      </c>
      <c r="F33" s="15">
        <f t="shared" si="6"/>
        <v>0</v>
      </c>
      <c r="G33" s="15">
        <f t="shared" si="6"/>
        <v>0</v>
      </c>
      <c r="H33" s="15">
        <f t="shared" si="6"/>
        <v>18901.029000000002</v>
      </c>
      <c r="I33" s="15">
        <f t="shared" si="6"/>
        <v>625.89599999999996</v>
      </c>
      <c r="J33" s="15">
        <f t="shared" si="6"/>
        <v>1.3399999999999999</v>
      </c>
      <c r="K33" s="15">
        <f t="shared" si="6"/>
        <v>35.176000000000002</v>
      </c>
      <c r="L33" s="15">
        <f t="shared" si="6"/>
        <v>0</v>
      </c>
      <c r="M33" s="15">
        <f t="shared" si="6"/>
        <v>0</v>
      </c>
      <c r="N33" s="15">
        <f t="shared" si="6"/>
        <v>627.23599999999988</v>
      </c>
      <c r="O33" s="15">
        <f t="shared" si="6"/>
        <v>1581.6159999999998</v>
      </c>
      <c r="P33" s="15">
        <f t="shared" si="6"/>
        <v>8.56</v>
      </c>
      <c r="Q33" s="15">
        <f t="shared" si="6"/>
        <v>390.03599999999994</v>
      </c>
      <c r="R33" s="15">
        <f t="shared" si="6"/>
        <v>0</v>
      </c>
      <c r="S33" s="15">
        <f t="shared" si="6"/>
        <v>0</v>
      </c>
      <c r="T33" s="15">
        <f t="shared" si="6"/>
        <v>1590.1759999999997</v>
      </c>
      <c r="U33" s="15">
        <f t="shared" si="6"/>
        <v>21118.441000000006</v>
      </c>
      <c r="V33" s="65"/>
      <c r="W33" s="65"/>
    </row>
    <row r="34" spans="1:23" ht="42.75" customHeight="1">
      <c r="A34" s="7">
        <v>21</v>
      </c>
      <c r="B34" s="8" t="s">
        <v>42</v>
      </c>
      <c r="C34" s="9">
        <f>'Jan 2024'!H34</f>
        <v>6408.680000000003</v>
      </c>
      <c r="D34" s="9">
        <v>0.34</v>
      </c>
      <c r="E34" s="9">
        <f>'Jan 2024'!E34+'Feb 2024'!D34</f>
        <v>307.66000000000003</v>
      </c>
      <c r="F34" s="9">
        <v>17.100000000000001</v>
      </c>
      <c r="G34" s="9">
        <f>'Jan 2024'!G34+'Feb 2024'!F34</f>
        <v>43.74</v>
      </c>
      <c r="H34" s="9">
        <f>C34+D34-F34</f>
        <v>6391.9200000000028</v>
      </c>
      <c r="I34" s="9">
        <f>'Jan 2024'!N34</f>
        <v>2</v>
      </c>
      <c r="J34" s="9">
        <v>0</v>
      </c>
      <c r="K34" s="9">
        <f>'Jan 2024'!K34+'Feb 2024'!J34</f>
        <v>0</v>
      </c>
      <c r="L34" s="9">
        <v>0</v>
      </c>
      <c r="M34" s="9">
        <f>'Jan 2024'!M34+'Feb 2024'!L34</f>
        <v>0</v>
      </c>
      <c r="N34" s="9">
        <f>I34+J34-L34</f>
        <v>2</v>
      </c>
      <c r="O34" s="10">
        <f>'Jan 2024'!T34</f>
        <v>22.27</v>
      </c>
      <c r="P34" s="9">
        <v>25</v>
      </c>
      <c r="Q34" s="9">
        <f>'Jan 2024'!Q34+'Feb 2024'!P34</f>
        <v>25.58</v>
      </c>
      <c r="R34" s="9">
        <v>0.38</v>
      </c>
      <c r="S34" s="9">
        <f>'Jan 2024'!S34+'Feb 2024'!R34</f>
        <v>17.39</v>
      </c>
      <c r="T34" s="10">
        <f>O34+P34-R34</f>
        <v>46.889999999999993</v>
      </c>
      <c r="U34" s="10">
        <f>H34+N34+T34</f>
        <v>6440.8100000000031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'Jan 2024'!H35</f>
        <v>9478.5350000000017</v>
      </c>
      <c r="D35" s="9">
        <v>0</v>
      </c>
      <c r="E35" s="9">
        <f>'Jan 2024'!E35+'Feb 2024'!D35</f>
        <v>4568.7700000000004</v>
      </c>
      <c r="F35" s="9">
        <v>84.45</v>
      </c>
      <c r="G35" s="9">
        <f>'Jan 2024'!G35+'Feb 2024'!F35</f>
        <v>84.45</v>
      </c>
      <c r="H35" s="9">
        <f>C35+D35-F35</f>
        <v>9394.0850000000009</v>
      </c>
      <c r="I35" s="9">
        <f>'Jan 2024'!N35</f>
        <v>0.1</v>
      </c>
      <c r="J35" s="9">
        <v>0</v>
      </c>
      <c r="K35" s="9">
        <f>'Jan 2024'!K35+'Feb 2024'!J35</f>
        <v>0</v>
      </c>
      <c r="L35" s="9">
        <v>0</v>
      </c>
      <c r="M35" s="9">
        <f>'Jan 2024'!M35+'Feb 2024'!L35</f>
        <v>0</v>
      </c>
      <c r="N35" s="9">
        <f>I35+J35-L35</f>
        <v>0.1</v>
      </c>
      <c r="O35" s="10">
        <f>'Jan 2024'!T35</f>
        <v>125.47000000000001</v>
      </c>
      <c r="P35" s="9">
        <v>120.1</v>
      </c>
      <c r="Q35" s="9">
        <f>'Jan 2024'!Q35+'Feb 2024'!P35</f>
        <v>120.1</v>
      </c>
      <c r="R35" s="9">
        <v>0</v>
      </c>
      <c r="S35" s="9">
        <f>'Jan 2024'!S35+'Feb 2024'!R35</f>
        <v>0</v>
      </c>
      <c r="T35" s="10">
        <f>O35+P35-R35</f>
        <v>245.57</v>
      </c>
      <c r="U35" s="10">
        <f>H35+N35+T35</f>
        <v>9639.755000000001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'Jan 2024'!H36</f>
        <v>22682.960000000006</v>
      </c>
      <c r="D36" s="9">
        <v>0</v>
      </c>
      <c r="E36" s="9">
        <f>'Jan 2024'!E36+'Feb 2024'!D36</f>
        <v>3213.94</v>
      </c>
      <c r="F36" s="9">
        <v>27.86</v>
      </c>
      <c r="G36" s="9">
        <f>'Jan 2024'!G36+'Feb 2024'!F36</f>
        <v>27.86</v>
      </c>
      <c r="H36" s="9">
        <f>C36+D36-F36</f>
        <v>22655.100000000006</v>
      </c>
      <c r="I36" s="9">
        <f>'Jan 2024'!N36</f>
        <v>8.5</v>
      </c>
      <c r="J36" s="9">
        <v>0</v>
      </c>
      <c r="K36" s="9">
        <f>'Jan 2024'!K36+'Feb 2024'!J36</f>
        <v>0.26</v>
      </c>
      <c r="L36" s="9">
        <v>0</v>
      </c>
      <c r="M36" s="9">
        <f>'Jan 2024'!M36+'Feb 2024'!L36</f>
        <v>0.26</v>
      </c>
      <c r="N36" s="9">
        <f>I36+J36-L36</f>
        <v>8.5</v>
      </c>
      <c r="O36" s="10">
        <f>'Jan 2024'!T36</f>
        <v>72.39</v>
      </c>
      <c r="P36" s="9">
        <v>0</v>
      </c>
      <c r="Q36" s="9">
        <f>'Jan 2024'!Q36+'Feb 2024'!P36</f>
        <v>0</v>
      </c>
      <c r="R36" s="9">
        <v>0</v>
      </c>
      <c r="S36" s="9">
        <f>'Jan 2024'!S36+'Feb 2024'!R36</f>
        <v>0</v>
      </c>
      <c r="T36" s="10">
        <f>O36+P36-R36</f>
        <v>72.39</v>
      </c>
      <c r="U36" s="10">
        <f>H36+N36+T36</f>
        <v>22735.990000000005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'Jan 2024'!H37</f>
        <v>7076.079999999999</v>
      </c>
      <c r="D37" s="9">
        <v>0.99</v>
      </c>
      <c r="E37" s="9">
        <f>'Jan 2024'!E37+'Feb 2024'!D37</f>
        <v>52.13</v>
      </c>
      <c r="F37" s="9">
        <v>0</v>
      </c>
      <c r="G37" s="9">
        <f>'Jan 2024'!G37+'Feb 2024'!F37</f>
        <v>0.02</v>
      </c>
      <c r="H37" s="9">
        <f>C37+D37-F37</f>
        <v>7077.0699999999988</v>
      </c>
      <c r="I37" s="9">
        <f>'Jan 2024'!N37</f>
        <v>0</v>
      </c>
      <c r="J37" s="9">
        <v>0</v>
      </c>
      <c r="K37" s="9">
        <f>'Jan 2024'!K37+'Feb 2024'!J37</f>
        <v>0</v>
      </c>
      <c r="L37" s="9">
        <v>0</v>
      </c>
      <c r="M37" s="9">
        <f>'Jan 2024'!M37+'Feb 2024'!L37</f>
        <v>0</v>
      </c>
      <c r="N37" s="9">
        <f>I37+J37-L37</f>
        <v>0</v>
      </c>
      <c r="O37" s="10">
        <f>'Jan 2024'!T37</f>
        <v>3.1</v>
      </c>
      <c r="P37" s="9">
        <v>0</v>
      </c>
      <c r="Q37" s="9">
        <f>'Jan 2024'!Q37+'Feb 2024'!P37</f>
        <v>0</v>
      </c>
      <c r="R37" s="9">
        <v>0</v>
      </c>
      <c r="S37" s="9">
        <f>'Jan 2024'!S37+'Feb 2024'!R37</f>
        <v>0</v>
      </c>
      <c r="T37" s="10">
        <f>O37+P37-R37</f>
        <v>3.1</v>
      </c>
      <c r="U37" s="10">
        <f>H37+N37+T37</f>
        <v>7080.1699999999992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'Jan 2024'!H38</f>
        <v>45646.255000000012</v>
      </c>
      <c r="D38" s="15">
        <f>SUM(D34:D37)</f>
        <v>1.33</v>
      </c>
      <c r="E38" s="15">
        <f>'Jan 2024'!E38+'Feb 2024'!D38</f>
        <v>8142.5000000000009</v>
      </c>
      <c r="F38" s="15">
        <f>SUM(F34:F37)</f>
        <v>129.41000000000003</v>
      </c>
      <c r="G38" s="15">
        <f>'Jan 2024'!G38+'Feb 2024'!F38</f>
        <v>156.07000000000002</v>
      </c>
      <c r="H38" s="15">
        <f>SUM(H34:H37)</f>
        <v>45518.17500000001</v>
      </c>
      <c r="I38" s="15">
        <f>'Jan 2024'!N38</f>
        <v>10.6</v>
      </c>
      <c r="J38" s="15">
        <f>SUM(J34:J37)</f>
        <v>0</v>
      </c>
      <c r="K38" s="15">
        <f>'Jan 2024'!K38+'Feb 2024'!J38</f>
        <v>0.26</v>
      </c>
      <c r="L38" s="15">
        <f>SUM(L34:L37)</f>
        <v>0</v>
      </c>
      <c r="M38" s="15">
        <f>'Jan 2024'!M38+'Feb 2024'!L38</f>
        <v>0.26</v>
      </c>
      <c r="N38" s="15">
        <f>SUM(N34:N37)</f>
        <v>10.6</v>
      </c>
      <c r="O38" s="41">
        <f>'Jan 2024'!T38</f>
        <v>223.23</v>
      </c>
      <c r="P38" s="15">
        <f>SUM(P34:P37)</f>
        <v>145.1</v>
      </c>
      <c r="Q38" s="15">
        <f>'Jan 2024'!Q38+'Feb 2024'!P38</f>
        <v>145.68</v>
      </c>
      <c r="R38" s="15">
        <f>SUM(R34:R37)</f>
        <v>0.38</v>
      </c>
      <c r="S38" s="15">
        <f>'Jan 2024'!S38+'Feb 2024'!R38</f>
        <v>17.39</v>
      </c>
      <c r="T38" s="15">
        <f>SUM(T34:T37)</f>
        <v>367.95</v>
      </c>
      <c r="U38" s="15">
        <f>SUM(U34:U37)</f>
        <v>45896.725000000006</v>
      </c>
      <c r="V38" s="68"/>
      <c r="W38" s="68"/>
    </row>
    <row r="39" spans="1:23" s="16" customFormat="1" ht="42.75" customHeight="1">
      <c r="A39" s="13"/>
      <c r="B39" s="14" t="s">
        <v>47</v>
      </c>
      <c r="C39" s="15">
        <f t="shared" ref="C39:U39" si="7">C38+C33+C28</f>
        <v>76337.573000000004</v>
      </c>
      <c r="D39" s="15">
        <f t="shared" si="7"/>
        <v>53.699999999999989</v>
      </c>
      <c r="E39" s="15">
        <f t="shared" si="7"/>
        <v>8702.3830000000016</v>
      </c>
      <c r="F39" s="15">
        <f t="shared" si="7"/>
        <v>129.41000000000003</v>
      </c>
      <c r="G39" s="15">
        <f t="shared" si="7"/>
        <v>156.09000000000003</v>
      </c>
      <c r="H39" s="15">
        <f t="shared" si="7"/>
        <v>76261.863000000012</v>
      </c>
      <c r="I39" s="15">
        <f t="shared" si="7"/>
        <v>1087.8509999999999</v>
      </c>
      <c r="J39" s="15">
        <f t="shared" si="7"/>
        <v>6.06</v>
      </c>
      <c r="K39" s="15">
        <f t="shared" si="7"/>
        <v>82.965999999999994</v>
      </c>
      <c r="L39" s="15">
        <f t="shared" si="7"/>
        <v>0</v>
      </c>
      <c r="M39" s="15">
        <f t="shared" si="7"/>
        <v>0.26</v>
      </c>
      <c r="N39" s="15">
        <f t="shared" si="7"/>
        <v>1093.9109999999998</v>
      </c>
      <c r="O39" s="15">
        <f t="shared" si="7"/>
        <v>2063.5659999999998</v>
      </c>
      <c r="P39" s="15">
        <f t="shared" si="7"/>
        <v>155.97999999999999</v>
      </c>
      <c r="Q39" s="15">
        <f t="shared" si="7"/>
        <v>549.50599999999986</v>
      </c>
      <c r="R39" s="15">
        <f t="shared" si="7"/>
        <v>0.38</v>
      </c>
      <c r="S39" s="15">
        <f t="shared" si="7"/>
        <v>17.39</v>
      </c>
      <c r="T39" s="15">
        <f t="shared" si="7"/>
        <v>2219.1659999999997</v>
      </c>
      <c r="U39" s="15">
        <f t="shared" si="7"/>
        <v>79574.94</v>
      </c>
      <c r="V39" s="65"/>
      <c r="W39" s="65"/>
    </row>
    <row r="40" spans="1:23" ht="42.75" customHeight="1">
      <c r="A40" s="7">
        <v>25</v>
      </c>
      <c r="B40" s="8" t="s">
        <v>48</v>
      </c>
      <c r="C40" s="9">
        <f>'Jan 2024'!H40</f>
        <v>13997.628000000001</v>
      </c>
      <c r="D40" s="9">
        <v>22.21</v>
      </c>
      <c r="E40" s="9">
        <f>'Jan 2024'!E40+'Feb 2024'!D40</f>
        <v>110.59</v>
      </c>
      <c r="F40" s="9">
        <v>0</v>
      </c>
      <c r="G40" s="9">
        <f>'Jan 2024'!G40+'Feb 2024'!F40</f>
        <v>0</v>
      </c>
      <c r="H40" s="9">
        <f>C40+D40-F40</f>
        <v>14019.838</v>
      </c>
      <c r="I40" s="9">
        <f>'Jan 2024'!N40</f>
        <v>226.8</v>
      </c>
      <c r="J40" s="9">
        <v>0</v>
      </c>
      <c r="K40" s="9">
        <f>'Jan 2024'!K40+'Feb 2024'!J40</f>
        <v>0</v>
      </c>
      <c r="L40" s="9">
        <v>0</v>
      </c>
      <c r="M40" s="9">
        <f>'Jan 2024'!M40+'Feb 2024'!L40</f>
        <v>0</v>
      </c>
      <c r="N40" s="9">
        <f>I40+J40-L40</f>
        <v>226.8</v>
      </c>
      <c r="O40" s="10">
        <f>'Jan 2024'!T40</f>
        <v>75.02000000000001</v>
      </c>
      <c r="P40" s="9">
        <v>0</v>
      </c>
      <c r="Q40" s="9">
        <f>'Jan 2024'!Q40+'Feb 2024'!P40</f>
        <v>0</v>
      </c>
      <c r="R40" s="9">
        <v>0</v>
      </c>
      <c r="S40" s="9">
        <f>'Jan 2024'!S40+'Feb 2024'!R40</f>
        <v>0</v>
      </c>
      <c r="T40" s="10">
        <f>O40+P40-R40</f>
        <v>75.02000000000001</v>
      </c>
      <c r="U40" s="10">
        <f>H40+N40+T40</f>
        <v>14321.657999999999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'Jan 2024'!H41</f>
        <v>10720.675999999996</v>
      </c>
      <c r="D41" s="9">
        <v>3.36</v>
      </c>
      <c r="E41" s="9">
        <f>'Jan 2024'!E41+'Feb 2024'!D41</f>
        <v>31.82</v>
      </c>
      <c r="F41" s="9">
        <v>0</v>
      </c>
      <c r="G41" s="9">
        <f>'Jan 2024'!G41+'Feb 2024'!F41</f>
        <v>0.02</v>
      </c>
      <c r="H41" s="9">
        <f>C41+D41-F41</f>
        <v>10724.035999999996</v>
      </c>
      <c r="I41" s="9">
        <f>'Jan 2024'!N41</f>
        <v>0</v>
      </c>
      <c r="J41" s="9">
        <v>0</v>
      </c>
      <c r="K41" s="9">
        <f>'Jan 2024'!K41+'Feb 2024'!J41</f>
        <v>0</v>
      </c>
      <c r="L41" s="9">
        <v>0</v>
      </c>
      <c r="M41" s="9">
        <f>'Jan 2024'!M41+'Feb 2024'!L41</f>
        <v>0</v>
      </c>
      <c r="N41" s="9">
        <f>I41+J41-L41</f>
        <v>0</v>
      </c>
      <c r="O41" s="10">
        <f>'Jan 2024'!T41</f>
        <v>89.580000000000013</v>
      </c>
      <c r="P41" s="9">
        <v>0</v>
      </c>
      <c r="Q41" s="9">
        <f>'Jan 2024'!Q41+'Feb 2024'!P41</f>
        <v>0</v>
      </c>
      <c r="R41" s="9">
        <v>0</v>
      </c>
      <c r="S41" s="9">
        <f>'Jan 2024'!S41+'Feb 2024'!R41</f>
        <v>0</v>
      </c>
      <c r="T41" s="10">
        <f>O41+P41-R41</f>
        <v>89.580000000000013</v>
      </c>
      <c r="U41" s="10">
        <f>H41+N41+T41</f>
        <v>10813.615999999996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'Jan 2024'!H42</f>
        <v>25181.544000000005</v>
      </c>
      <c r="D42" s="9">
        <v>11.84</v>
      </c>
      <c r="E42" s="9">
        <f>'Jan 2024'!E42+'Feb 2024'!D42</f>
        <v>1113.1499999999999</v>
      </c>
      <c r="F42" s="9">
        <v>0</v>
      </c>
      <c r="G42" s="9">
        <f>'Jan 2024'!G42+'Feb 2024'!F42</f>
        <v>0</v>
      </c>
      <c r="H42" s="9">
        <f>C42+D42-F42</f>
        <v>25193.384000000005</v>
      </c>
      <c r="I42" s="9">
        <f>'Jan 2024'!N42</f>
        <v>0</v>
      </c>
      <c r="J42" s="9">
        <v>0</v>
      </c>
      <c r="K42" s="9">
        <f>'Jan 2024'!K42+'Feb 2024'!J42</f>
        <v>0</v>
      </c>
      <c r="L42" s="9">
        <v>0</v>
      </c>
      <c r="M42" s="9">
        <f>'Jan 2024'!M42+'Feb 2024'!L42</f>
        <v>0</v>
      </c>
      <c r="N42" s="9">
        <f>I42+J42-L42</f>
        <v>0</v>
      </c>
      <c r="O42" s="10">
        <f>'Jan 2024'!T42</f>
        <v>38.47</v>
      </c>
      <c r="P42" s="9">
        <v>0</v>
      </c>
      <c r="Q42" s="9">
        <f>'Jan 2024'!Q42+'Feb 2024'!P42</f>
        <v>0</v>
      </c>
      <c r="R42" s="9">
        <v>0</v>
      </c>
      <c r="S42" s="9">
        <f>'Jan 2024'!S42+'Feb 2024'!R42</f>
        <v>0</v>
      </c>
      <c r="T42" s="10">
        <f>O42+P42-R42</f>
        <v>38.47</v>
      </c>
      <c r="U42" s="10">
        <f>H42+N42+T42</f>
        <v>25231.854000000007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'Jan 2024'!H43</f>
        <v>3175.9530000000004</v>
      </c>
      <c r="D43" s="9">
        <v>2.02</v>
      </c>
      <c r="E43" s="9">
        <f>'Jan 2024'!E43+'Feb 2024'!D43</f>
        <v>697.97</v>
      </c>
      <c r="F43" s="9">
        <v>0</v>
      </c>
      <c r="G43" s="9">
        <f>'Jan 2024'!G43+'Feb 2024'!F43</f>
        <v>0</v>
      </c>
      <c r="H43" s="9">
        <f>C43+D43-F43</f>
        <v>3177.9730000000004</v>
      </c>
      <c r="I43" s="9">
        <f>'Jan 2024'!N43</f>
        <v>0</v>
      </c>
      <c r="J43" s="9">
        <v>0</v>
      </c>
      <c r="K43" s="9">
        <f>'Jan 2024'!K43+'Feb 2024'!J43</f>
        <v>0</v>
      </c>
      <c r="L43" s="9">
        <v>0</v>
      </c>
      <c r="M43" s="9">
        <f>'Jan 2024'!M43+'Feb 2024'!L43</f>
        <v>0</v>
      </c>
      <c r="N43" s="9">
        <f>I43+J43-L43</f>
        <v>0</v>
      </c>
      <c r="O43" s="10">
        <f>'Jan 2024'!T43</f>
        <v>146.49</v>
      </c>
      <c r="P43" s="9">
        <v>0</v>
      </c>
      <c r="Q43" s="9">
        <f>'Jan 2024'!Q43+'Feb 2024'!P43</f>
        <v>0</v>
      </c>
      <c r="R43" s="9">
        <v>0</v>
      </c>
      <c r="S43" s="9">
        <f>'Jan 2024'!S43+'Feb 2024'!R43</f>
        <v>0</v>
      </c>
      <c r="T43" s="10">
        <f>O43+P43-R43</f>
        <v>146.49</v>
      </c>
      <c r="U43" s="10">
        <f>H43+N43+T43</f>
        <v>3324.4630000000006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 t="shared" ref="C44:U44" si="8">SUM(C40:C43)</f>
        <v>53075.800999999999</v>
      </c>
      <c r="D44" s="15">
        <f t="shared" si="8"/>
        <v>39.43</v>
      </c>
      <c r="E44" s="15">
        <f t="shared" si="8"/>
        <v>1953.53</v>
      </c>
      <c r="F44" s="15">
        <f t="shared" si="8"/>
        <v>0</v>
      </c>
      <c r="G44" s="15">
        <f t="shared" si="8"/>
        <v>0.02</v>
      </c>
      <c r="H44" s="15">
        <f t="shared" si="8"/>
        <v>53115.231</v>
      </c>
      <c r="I44" s="15">
        <f t="shared" si="8"/>
        <v>226.8</v>
      </c>
      <c r="J44" s="15">
        <f t="shared" si="8"/>
        <v>0</v>
      </c>
      <c r="K44" s="15">
        <f t="shared" si="8"/>
        <v>0</v>
      </c>
      <c r="L44" s="15">
        <f t="shared" si="8"/>
        <v>0</v>
      </c>
      <c r="M44" s="15">
        <f t="shared" si="8"/>
        <v>0</v>
      </c>
      <c r="N44" s="15">
        <f t="shared" si="8"/>
        <v>226.8</v>
      </c>
      <c r="O44" s="15">
        <f t="shared" si="8"/>
        <v>349.56000000000006</v>
      </c>
      <c r="P44" s="15">
        <f t="shared" si="8"/>
        <v>0</v>
      </c>
      <c r="Q44" s="15">
        <f t="shared" si="8"/>
        <v>0</v>
      </c>
      <c r="R44" s="15">
        <f t="shared" si="8"/>
        <v>0</v>
      </c>
      <c r="S44" s="15">
        <f t="shared" si="8"/>
        <v>0</v>
      </c>
      <c r="T44" s="15">
        <f t="shared" si="8"/>
        <v>349.56000000000006</v>
      </c>
      <c r="U44" s="15">
        <f t="shared" si="8"/>
        <v>53691.591000000008</v>
      </c>
      <c r="V44" s="65"/>
      <c r="W44" s="65"/>
    </row>
    <row r="45" spans="1:23" ht="42.75" customHeight="1">
      <c r="A45" s="7">
        <v>29</v>
      </c>
      <c r="B45" s="8" t="s">
        <v>53</v>
      </c>
      <c r="C45" s="9">
        <f>'Jan 2024'!H45</f>
        <v>14176.465</v>
      </c>
      <c r="D45" s="9">
        <v>4.96</v>
      </c>
      <c r="E45" s="9">
        <f>'Jan 2024'!E45+'Feb 2024'!D45</f>
        <v>55.76</v>
      </c>
      <c r="F45" s="9">
        <v>0</v>
      </c>
      <c r="G45" s="9">
        <f>'Jan 2024'!G45+'Feb 2024'!F45</f>
        <v>0</v>
      </c>
      <c r="H45" s="9">
        <f>C45+D45-F45</f>
        <v>14181.424999999999</v>
      </c>
      <c r="I45" s="9">
        <f>'Jan 2024'!N45</f>
        <v>8.16</v>
      </c>
      <c r="J45" s="9">
        <v>0</v>
      </c>
      <c r="K45" s="9">
        <f>'Jan 2024'!K45+'Feb 2024'!J45</f>
        <v>1.49</v>
      </c>
      <c r="L45" s="9">
        <v>0</v>
      </c>
      <c r="M45" s="9">
        <f>'Jan 2024'!M45+'Feb 2024'!L45</f>
        <v>0</v>
      </c>
      <c r="N45" s="9">
        <f>I45+J45-L45</f>
        <v>8.16</v>
      </c>
      <c r="O45" s="10">
        <f>'Jan 2024'!T45</f>
        <v>105.87000000000002</v>
      </c>
      <c r="P45" s="9">
        <v>0</v>
      </c>
      <c r="Q45" s="9">
        <f>'Jan 2024'!Q45+'Feb 2024'!P45</f>
        <v>0</v>
      </c>
      <c r="R45" s="9">
        <v>0</v>
      </c>
      <c r="S45" s="9">
        <f>'Jan 2024'!S45+'Feb 2024'!R45</f>
        <v>0</v>
      </c>
      <c r="T45" s="10">
        <f>O45+P45-R45</f>
        <v>105.87000000000002</v>
      </c>
      <c r="U45" s="10">
        <f>H45+N45+T45</f>
        <v>14295.455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'Jan 2024'!H46</f>
        <v>7569.8549999999996</v>
      </c>
      <c r="D46" s="9">
        <v>15.7</v>
      </c>
      <c r="E46" s="9">
        <f>'Jan 2024'!E46+'Feb 2024'!D46</f>
        <v>172.49999999999997</v>
      </c>
      <c r="F46" s="9">
        <v>0</v>
      </c>
      <c r="G46" s="9">
        <f>'Jan 2024'!G46+'Feb 2024'!F46</f>
        <v>0</v>
      </c>
      <c r="H46" s="9">
        <f>C46+D46-F46</f>
        <v>7585.5549999999994</v>
      </c>
      <c r="I46" s="9">
        <f>'Jan 2024'!N46</f>
        <v>0</v>
      </c>
      <c r="J46" s="9">
        <v>0</v>
      </c>
      <c r="K46" s="9">
        <f>'Jan 2024'!K46+'Feb 2024'!J46</f>
        <v>0</v>
      </c>
      <c r="L46" s="9">
        <v>0</v>
      </c>
      <c r="M46" s="9">
        <f>'Jan 2024'!M46+'Feb 2024'!L46</f>
        <v>0</v>
      </c>
      <c r="N46" s="9">
        <f>I46+J46-L46</f>
        <v>0</v>
      </c>
      <c r="O46" s="10">
        <f>'Jan 2024'!T46</f>
        <v>7.5900000000000007</v>
      </c>
      <c r="P46" s="9">
        <v>0</v>
      </c>
      <c r="Q46" s="9">
        <f>'Jan 2024'!Q46+'Feb 2024'!P46</f>
        <v>0</v>
      </c>
      <c r="R46" s="9">
        <v>0</v>
      </c>
      <c r="S46" s="9">
        <f>'Jan 2024'!S46+'Feb 2024'!R46</f>
        <v>0</v>
      </c>
      <c r="T46" s="10">
        <f>O46+P46-R46</f>
        <v>7.5900000000000007</v>
      </c>
      <c r="U46" s="10">
        <f>H46+N46+T46</f>
        <v>7593.1449999999995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'Jan 2024'!H47</f>
        <v>12311.160000000007</v>
      </c>
      <c r="D47" s="9">
        <v>1.97</v>
      </c>
      <c r="E47" s="9">
        <f>'Jan 2024'!E47+'Feb 2024'!D47</f>
        <v>9.0900000000000016</v>
      </c>
      <c r="F47" s="9">
        <v>0</v>
      </c>
      <c r="G47" s="9">
        <f>'Jan 2024'!G47+'Feb 2024'!F47</f>
        <v>0</v>
      </c>
      <c r="H47" s="9">
        <f>C47+D47-F47</f>
        <v>12313.130000000006</v>
      </c>
      <c r="I47" s="9">
        <f>'Jan 2024'!N47</f>
        <v>1.2999999999999998</v>
      </c>
      <c r="J47" s="9">
        <v>0</v>
      </c>
      <c r="K47" s="9">
        <f>'Jan 2024'!K47+'Feb 2024'!J47</f>
        <v>0</v>
      </c>
      <c r="L47" s="9">
        <v>0</v>
      </c>
      <c r="M47" s="9">
        <f>'Jan 2024'!M47+'Feb 2024'!L47</f>
        <v>0</v>
      </c>
      <c r="N47" s="9">
        <f>I47+J47-L47</f>
        <v>1.2999999999999998</v>
      </c>
      <c r="O47" s="10">
        <f>'Jan 2024'!T47</f>
        <v>86.18</v>
      </c>
      <c r="P47" s="9">
        <v>0</v>
      </c>
      <c r="Q47" s="9">
        <f>'Jan 2024'!Q47+'Feb 2024'!P47</f>
        <v>0</v>
      </c>
      <c r="R47" s="9">
        <v>0</v>
      </c>
      <c r="S47" s="9">
        <f>'Jan 2024'!S47+'Feb 2024'!R47</f>
        <v>0</v>
      </c>
      <c r="T47" s="10">
        <f>O47+P47-R47</f>
        <v>86.18</v>
      </c>
      <c r="U47" s="10">
        <f>H47+N47+T47</f>
        <v>12400.610000000006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'Jan 2024'!H48</f>
        <v>11115.632000000007</v>
      </c>
      <c r="D48" s="9">
        <v>1.25</v>
      </c>
      <c r="E48" s="9">
        <f>'Jan 2024'!E48+'Feb 2024'!D48</f>
        <v>9.67</v>
      </c>
      <c r="F48" s="9">
        <v>0</v>
      </c>
      <c r="G48" s="9">
        <f>'Jan 2024'!G48+'Feb 2024'!F48</f>
        <v>0</v>
      </c>
      <c r="H48" s="9">
        <f>C48+D48-F48</f>
        <v>11116.882000000007</v>
      </c>
      <c r="I48" s="9">
        <f>'Jan 2024'!N48</f>
        <v>0</v>
      </c>
      <c r="J48" s="9">
        <v>0</v>
      </c>
      <c r="K48" s="9">
        <f>'Jan 2024'!K48+'Feb 2024'!J48</f>
        <v>0</v>
      </c>
      <c r="L48" s="9">
        <v>0</v>
      </c>
      <c r="M48" s="9">
        <f>'Jan 2024'!M48+'Feb 2024'!L48</f>
        <v>0</v>
      </c>
      <c r="N48" s="9">
        <f>I48+J48-L48</f>
        <v>0</v>
      </c>
      <c r="O48" s="10">
        <f>'Jan 2024'!T48</f>
        <v>30.53</v>
      </c>
      <c r="P48" s="9">
        <v>0</v>
      </c>
      <c r="Q48" s="9">
        <f>'Jan 2024'!Q48+'Feb 2024'!P48</f>
        <v>0</v>
      </c>
      <c r="R48" s="9">
        <v>0</v>
      </c>
      <c r="S48" s="9">
        <f>'Jan 2024'!S48+'Feb 2024'!R48</f>
        <v>0</v>
      </c>
      <c r="T48" s="10">
        <f>O48+P48-R48</f>
        <v>30.53</v>
      </c>
      <c r="U48" s="10">
        <f>H48+N48+T48</f>
        <v>11147.412000000008</v>
      </c>
      <c r="V48" s="75"/>
      <c r="W48" s="11"/>
    </row>
    <row r="49" spans="1:23" s="16" customFormat="1" ht="57.75" customHeight="1">
      <c r="A49" s="13"/>
      <c r="B49" s="14" t="s">
        <v>57</v>
      </c>
      <c r="C49" s="15">
        <f t="shared" ref="C49:U49" si="9">SUM(C45:C48)</f>
        <v>45173.112000000016</v>
      </c>
      <c r="D49" s="15">
        <f t="shared" si="9"/>
        <v>23.88</v>
      </c>
      <c r="E49" s="15">
        <f t="shared" si="9"/>
        <v>247.01999999999995</v>
      </c>
      <c r="F49" s="15">
        <f t="shared" si="9"/>
        <v>0</v>
      </c>
      <c r="G49" s="15">
        <f t="shared" si="9"/>
        <v>0</v>
      </c>
      <c r="H49" s="15">
        <f t="shared" si="9"/>
        <v>45196.992000000013</v>
      </c>
      <c r="I49" s="15">
        <f t="shared" si="9"/>
        <v>9.4600000000000009</v>
      </c>
      <c r="J49" s="15">
        <f t="shared" si="9"/>
        <v>0</v>
      </c>
      <c r="K49" s="15">
        <f t="shared" si="9"/>
        <v>1.49</v>
      </c>
      <c r="L49" s="15">
        <f t="shared" si="9"/>
        <v>0</v>
      </c>
      <c r="M49" s="15">
        <f t="shared" si="9"/>
        <v>0</v>
      </c>
      <c r="N49" s="15">
        <f t="shared" si="9"/>
        <v>9.4600000000000009</v>
      </c>
      <c r="O49" s="15">
        <f t="shared" si="9"/>
        <v>230.17000000000004</v>
      </c>
      <c r="P49" s="15">
        <f t="shared" si="9"/>
        <v>0</v>
      </c>
      <c r="Q49" s="15">
        <f t="shared" si="9"/>
        <v>0</v>
      </c>
      <c r="R49" s="15">
        <f t="shared" si="9"/>
        <v>0</v>
      </c>
      <c r="S49" s="15">
        <f t="shared" si="9"/>
        <v>0</v>
      </c>
      <c r="T49" s="15">
        <f t="shared" si="9"/>
        <v>230.17000000000004</v>
      </c>
      <c r="U49" s="15">
        <f t="shared" si="9"/>
        <v>45436.622000000018</v>
      </c>
      <c r="V49" s="65"/>
      <c r="W49" s="65"/>
    </row>
    <row r="50" spans="1:23" s="16" customFormat="1" ht="42.75" customHeight="1">
      <c r="A50" s="13"/>
      <c r="B50" s="14" t="s">
        <v>58</v>
      </c>
      <c r="C50" s="15">
        <f t="shared" ref="C50:U50" si="10">C49+C44</f>
        <v>98248.913000000015</v>
      </c>
      <c r="D50" s="15">
        <f t="shared" si="10"/>
        <v>63.31</v>
      </c>
      <c r="E50" s="15">
        <f t="shared" si="10"/>
        <v>2200.5499999999997</v>
      </c>
      <c r="F50" s="15">
        <f t="shared" si="10"/>
        <v>0</v>
      </c>
      <c r="G50" s="15">
        <f t="shared" si="10"/>
        <v>0.02</v>
      </c>
      <c r="H50" s="15">
        <f t="shared" si="10"/>
        <v>98312.223000000013</v>
      </c>
      <c r="I50" s="15">
        <f t="shared" si="10"/>
        <v>236.26000000000002</v>
      </c>
      <c r="J50" s="15">
        <f t="shared" si="10"/>
        <v>0</v>
      </c>
      <c r="K50" s="15">
        <f t="shared" si="10"/>
        <v>1.49</v>
      </c>
      <c r="L50" s="15">
        <f t="shared" si="10"/>
        <v>0</v>
      </c>
      <c r="M50" s="15">
        <f t="shared" si="10"/>
        <v>0</v>
      </c>
      <c r="N50" s="15">
        <f t="shared" si="10"/>
        <v>236.26000000000002</v>
      </c>
      <c r="O50" s="15">
        <f t="shared" si="10"/>
        <v>579.73000000000013</v>
      </c>
      <c r="P50" s="15">
        <f t="shared" si="10"/>
        <v>0</v>
      </c>
      <c r="Q50" s="15">
        <f t="shared" si="10"/>
        <v>0</v>
      </c>
      <c r="R50" s="15">
        <f t="shared" si="10"/>
        <v>0</v>
      </c>
      <c r="S50" s="15">
        <f t="shared" si="10"/>
        <v>0</v>
      </c>
      <c r="T50" s="15">
        <f t="shared" si="10"/>
        <v>579.73000000000013</v>
      </c>
      <c r="U50" s="15">
        <f t="shared" si="10"/>
        <v>99128.213000000018</v>
      </c>
      <c r="V50" s="65"/>
      <c r="W50" s="65"/>
    </row>
    <row r="51" spans="1:23" s="16" customFormat="1" ht="42.75" customHeight="1">
      <c r="A51" s="13"/>
      <c r="B51" s="14" t="s">
        <v>59</v>
      </c>
      <c r="C51" s="15">
        <f t="shared" ref="C51:U51" si="11">C50+C39+C25</f>
        <v>183421.60900000003</v>
      </c>
      <c r="D51" s="15">
        <f t="shared" si="11"/>
        <v>118.38999999999999</v>
      </c>
      <c r="E51" s="15">
        <f t="shared" si="11"/>
        <v>10939.363000000001</v>
      </c>
      <c r="F51" s="15">
        <f t="shared" si="11"/>
        <v>135.21000000000004</v>
      </c>
      <c r="G51" s="15">
        <f t="shared" si="11"/>
        <v>276.86</v>
      </c>
      <c r="H51" s="37">
        <f t="shared" si="11"/>
        <v>183404.78900000002</v>
      </c>
      <c r="I51" s="15">
        <f t="shared" si="11"/>
        <v>3014.8070000000002</v>
      </c>
      <c r="J51" s="15">
        <f t="shared" si="11"/>
        <v>15.689999999999998</v>
      </c>
      <c r="K51" s="15">
        <f t="shared" si="11"/>
        <v>225.07799999999997</v>
      </c>
      <c r="L51" s="15">
        <f t="shared" si="11"/>
        <v>0</v>
      </c>
      <c r="M51" s="15">
        <f t="shared" si="11"/>
        <v>10.72</v>
      </c>
      <c r="N51" s="37">
        <f t="shared" si="11"/>
        <v>3030.4970000000003</v>
      </c>
      <c r="O51" s="15">
        <f t="shared" si="11"/>
        <v>10464.199999999999</v>
      </c>
      <c r="P51" s="15">
        <f t="shared" si="11"/>
        <v>159.51</v>
      </c>
      <c r="Q51" s="15">
        <f t="shared" si="11"/>
        <v>1345.1659999999997</v>
      </c>
      <c r="R51" s="15">
        <f t="shared" si="11"/>
        <v>0.38</v>
      </c>
      <c r="S51" s="15">
        <f t="shared" si="11"/>
        <v>39.81</v>
      </c>
      <c r="T51" s="37">
        <f t="shared" si="11"/>
        <v>10623.329999999998</v>
      </c>
      <c r="U51" s="15">
        <f t="shared" si="11"/>
        <v>197058.61600000001</v>
      </c>
      <c r="V51" s="65"/>
      <c r="W51" s="65"/>
    </row>
    <row r="52" spans="1:23" s="21" customFormat="1" ht="42.75" hidden="1" customHeight="1">
      <c r="A52" s="18"/>
      <c r="B52" s="19"/>
      <c r="C52" s="9">
        <f>'dec 2023'!H52</f>
        <v>0</v>
      </c>
      <c r="D52" s="20"/>
      <c r="E52" s="9">
        <f>'Sept 2023'!E52+'Feb 2024'!D52</f>
        <v>0</v>
      </c>
      <c r="F52" s="20"/>
      <c r="G52" s="9">
        <f>'Jan 2024'!G52+'Feb 2024'!F52</f>
        <v>0</v>
      </c>
      <c r="H52" s="9">
        <f>C52+D52-F52</f>
        <v>0</v>
      </c>
      <c r="I52" s="9">
        <f>'Sept 2023'!N52</f>
        <v>0</v>
      </c>
      <c r="J52" s="20"/>
      <c r="K52" s="9">
        <f>'Sept 2023'!K52+'Feb 2024'!J52</f>
        <v>0</v>
      </c>
      <c r="L52" s="20"/>
      <c r="M52" s="9"/>
      <c r="N52" s="20"/>
      <c r="O52" s="10">
        <f>'Nov 2023'!T52</f>
        <v>0</v>
      </c>
      <c r="P52" s="20"/>
      <c r="Q52" s="9">
        <f>'Sept 2023'!Q52+'Feb 2024'!P52</f>
        <v>0</v>
      </c>
      <c r="R52" s="20"/>
      <c r="S52" s="9">
        <f>'Jan 2024'!S52+'Feb 2024'!R52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'dec 2023'!H53</f>
        <v>0</v>
      </c>
      <c r="D53" s="20"/>
      <c r="E53" s="9">
        <f>'Sept 2023'!E53+'Feb 2024'!D53</f>
        <v>0</v>
      </c>
      <c r="F53" s="20"/>
      <c r="G53" s="9">
        <f>'Jan 2024'!G53+'Feb 2024'!F53</f>
        <v>0</v>
      </c>
      <c r="H53" s="9">
        <f>C53+D53-F53</f>
        <v>0</v>
      </c>
      <c r="I53" s="9">
        <f>'Sept 2023'!N53</f>
        <v>0</v>
      </c>
      <c r="J53" s="20"/>
      <c r="K53" s="9">
        <f>'Sept 2023'!K53+'Feb 2024'!J53</f>
        <v>0</v>
      </c>
      <c r="L53" s="20"/>
      <c r="M53" s="9"/>
      <c r="N53" s="20"/>
      <c r="O53" s="10">
        <f>'Nov 2023'!T53</f>
        <v>0</v>
      </c>
      <c r="P53" s="22"/>
      <c r="Q53" s="9">
        <f>'Sept 2023'!Q53+'Feb 2024'!P53</f>
        <v>0</v>
      </c>
      <c r="R53" s="20"/>
      <c r="S53" s="9">
        <f>'Jan 2024'!S53+'Feb 2024'!R53</f>
        <v>0</v>
      </c>
      <c r="T53" s="23"/>
      <c r="U53" s="20"/>
      <c r="V53" s="20"/>
      <c r="W53" s="20"/>
    </row>
    <row r="54" spans="1:23" s="16" customFormat="1" ht="57" customHeight="1">
      <c r="A54" s="25"/>
      <c r="B54" s="26"/>
      <c r="C54" s="27"/>
      <c r="D54" s="74" t="s">
        <v>60</v>
      </c>
      <c r="E54" s="74"/>
      <c r="F54" s="74"/>
      <c r="G54" s="74"/>
      <c r="H54" s="65">
        <f>D51+J51+P51-F51-L51-R51</f>
        <v>157.99999999999994</v>
      </c>
      <c r="I54" s="65"/>
      <c r="J54" s="65"/>
      <c r="K54" s="65"/>
      <c r="L54" s="65"/>
      <c r="M54" s="65"/>
      <c r="N54" s="65"/>
      <c r="O54" s="28"/>
      <c r="P54" s="65"/>
      <c r="Q54" s="65"/>
      <c r="R54" s="65"/>
      <c r="S54" s="65"/>
      <c r="T54" s="65"/>
      <c r="U54" s="67"/>
      <c r="V54" s="67"/>
      <c r="W54" s="67"/>
    </row>
    <row r="55" spans="1:23" s="16" customFormat="1" ht="66" customHeight="1">
      <c r="A55" s="25"/>
      <c r="B55" s="26"/>
      <c r="C55" s="65"/>
      <c r="D55" s="74" t="s">
        <v>61</v>
      </c>
      <c r="E55" s="74"/>
      <c r="F55" s="74"/>
      <c r="G55" s="74"/>
      <c r="H55" s="65">
        <f>E51+K51+Q51-G51-M51-S51</f>
        <v>12182.217000000001</v>
      </c>
      <c r="I55" s="65"/>
      <c r="J55" s="65"/>
      <c r="K55" s="65"/>
      <c r="L55" s="65"/>
      <c r="M55" s="65"/>
      <c r="N55" s="65"/>
      <c r="O55" s="28"/>
      <c r="P55" s="65"/>
      <c r="Q55" s="65"/>
      <c r="R55" s="65"/>
      <c r="S55" s="65"/>
      <c r="T55" s="65"/>
      <c r="U55" s="67"/>
      <c r="V55" s="67"/>
      <c r="W55" s="67"/>
    </row>
    <row r="56" spans="1:23" ht="54" customHeight="1">
      <c r="C56" s="27"/>
      <c r="D56" s="74" t="s">
        <v>62</v>
      </c>
      <c r="E56" s="74"/>
      <c r="F56" s="74"/>
      <c r="G56" s="74"/>
      <c r="H56" s="65">
        <f>H51+N51+T51</f>
        <v>197058.61600000001</v>
      </c>
      <c r="I56" s="30"/>
      <c r="J56" s="30"/>
      <c r="K56" s="30"/>
      <c r="L56" s="31"/>
      <c r="M56" s="31"/>
      <c r="N56" s="32" t="e">
        <f>#REF!+'Feb 2024'!H54</f>
        <v>#REF!</v>
      </c>
      <c r="O56" s="11"/>
      <c r="P56" s="30"/>
      <c r="Q56" s="30"/>
      <c r="T56" s="33"/>
      <c r="U56" s="11"/>
      <c r="V56" s="11"/>
      <c r="W56" s="11"/>
    </row>
    <row r="57" spans="1:23" ht="42.75" customHeight="1">
      <c r="C57" s="67"/>
      <c r="D57" s="67"/>
      <c r="E57" s="34"/>
      <c r="H57" s="30"/>
      <c r="J57" s="35" t="e">
        <f>#REF!+'Feb 2024'!H54</f>
        <v>#REF!</v>
      </c>
      <c r="K57" s="30"/>
      <c r="L57" s="35" t="e">
        <f>#REF!+'Feb 2024'!H54</f>
        <v>#REF!</v>
      </c>
      <c r="M57" s="30"/>
      <c r="O57" s="11"/>
    </row>
    <row r="58" spans="1:23" s="16" customFormat="1" ht="78.75" customHeight="1">
      <c r="B58" s="80" t="s">
        <v>77</v>
      </c>
      <c r="C58" s="80"/>
      <c r="D58" s="80"/>
      <c r="E58" s="80"/>
      <c r="F58" s="80"/>
      <c r="H58" s="34"/>
      <c r="I58" s="45" t="e">
        <f>#REF!+'[3]dec 2023'!H56</f>
        <v>#REF!</v>
      </c>
      <c r="J58" s="34"/>
      <c r="K58" s="30"/>
      <c r="L58" s="30"/>
      <c r="M58" s="35">
        <f>'[2]March 2022'!H58+'[3]dec 2023'!H56</f>
        <v>179518.49399999995</v>
      </c>
      <c r="Q58" s="80" t="s">
        <v>78</v>
      </c>
      <c r="R58" s="80"/>
      <c r="S58" s="80"/>
      <c r="T58" s="80"/>
      <c r="U58" s="80"/>
    </row>
    <row r="59" spans="1:23" s="16" customFormat="1" ht="45.75" customHeight="1">
      <c r="B59" s="80" t="s">
        <v>79</v>
      </c>
      <c r="C59" s="80"/>
      <c r="D59" s="80"/>
      <c r="E59" s="80"/>
      <c r="F59" s="80"/>
      <c r="G59" s="46"/>
      <c r="H59" s="47">
        <f>'[4]feb 2021'!H58+'[3]dec 2023'!H56</f>
        <v>177015.56</v>
      </c>
      <c r="I59" s="46"/>
      <c r="J59" s="27"/>
      <c r="K59" s="30"/>
      <c r="L59" s="30"/>
      <c r="M59" s="30"/>
      <c r="Q59" s="80" t="s">
        <v>79</v>
      </c>
      <c r="R59" s="80"/>
      <c r="S59" s="80"/>
      <c r="T59" s="80"/>
      <c r="U59" s="80"/>
    </row>
    <row r="60" spans="1:23" s="16" customFormat="1">
      <c r="B60" s="26"/>
      <c r="F60" s="48"/>
      <c r="I60" s="46"/>
      <c r="J60" s="48"/>
      <c r="Q60" s="67"/>
      <c r="R60" s="67"/>
      <c r="S60" s="1"/>
      <c r="T60" s="67"/>
      <c r="U60" s="67"/>
      <c r="V60" s="67"/>
      <c r="W60" s="67"/>
    </row>
    <row r="61" spans="1:23" s="16" customFormat="1" ht="61.5" customHeight="1">
      <c r="B61" s="26"/>
      <c r="G61" s="47">
        <f>'[4]May 2020'!H56+'[3]dec 2023'!H56</f>
        <v>174908.878</v>
      </c>
      <c r="J61" s="79" t="s">
        <v>80</v>
      </c>
      <c r="K61" s="79"/>
      <c r="L61" s="79"/>
      <c r="O61" s="67"/>
      <c r="S61" s="48"/>
      <c r="U61" s="67"/>
      <c r="V61" s="67"/>
      <c r="W61" s="67"/>
    </row>
    <row r="62" spans="1:23" s="16" customFormat="1" ht="58.5" customHeight="1">
      <c r="B62" s="26"/>
      <c r="H62" s="34"/>
      <c r="J62" s="79" t="s">
        <v>81</v>
      </c>
      <c r="K62" s="79"/>
      <c r="L62" s="79"/>
      <c r="O62" s="67"/>
      <c r="S62" s="48"/>
      <c r="U62" s="67"/>
      <c r="V62" s="67"/>
      <c r="W62" s="67"/>
    </row>
  </sheetData>
  <mergeCells count="31">
    <mergeCell ref="J61:L61"/>
    <mergeCell ref="J62:L62"/>
    <mergeCell ref="D54:G54"/>
    <mergeCell ref="D55:G55"/>
    <mergeCell ref="D56:G56"/>
    <mergeCell ref="B58:F58"/>
    <mergeCell ref="Q58:U58"/>
    <mergeCell ref="B59:F59"/>
    <mergeCell ref="Q59:U59"/>
    <mergeCell ref="P5:Q5"/>
    <mergeCell ref="R5:S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2"/>
  <sheetViews>
    <sheetView tabSelected="1" topLeftCell="A43" zoomScale="50" zoomScaleNormal="50" zoomScaleSheetLayoutView="25" workbookViewId="0">
      <selection activeCell="H56" sqref="H56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83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69" t="s">
        <v>12</v>
      </c>
      <c r="E6" s="69" t="s">
        <v>13</v>
      </c>
      <c r="F6" s="69" t="s">
        <v>12</v>
      </c>
      <c r="G6" s="69" t="s">
        <v>13</v>
      </c>
      <c r="H6" s="72"/>
      <c r="I6" s="72"/>
      <c r="J6" s="6" t="s">
        <v>12</v>
      </c>
      <c r="K6" s="69" t="s">
        <v>13</v>
      </c>
      <c r="L6" s="69" t="s">
        <v>12</v>
      </c>
      <c r="M6" s="69" t="s">
        <v>13</v>
      </c>
      <c r="N6" s="72"/>
      <c r="O6" s="72"/>
      <c r="P6" s="69" t="s">
        <v>12</v>
      </c>
      <c r="Q6" s="69" t="s">
        <v>13</v>
      </c>
      <c r="R6" s="69" t="s">
        <v>12</v>
      </c>
      <c r="S6" s="69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'Feb 2024'!H7</f>
        <v>83.970000000000653</v>
      </c>
      <c r="D7" s="9">
        <v>0</v>
      </c>
      <c r="E7" s="9">
        <f>'Feb 2024'!E7+'March 2024'!D7</f>
        <v>0</v>
      </c>
      <c r="F7" s="9">
        <v>0</v>
      </c>
      <c r="G7" s="9">
        <f>'Feb 2024'!G7+'March 2024'!F7</f>
        <v>0</v>
      </c>
      <c r="H7" s="9">
        <f>C7+D7-F7</f>
        <v>83.970000000000653</v>
      </c>
      <c r="I7" s="9">
        <f>'Feb 2024'!N7</f>
        <v>211.29099999999997</v>
      </c>
      <c r="J7" s="9">
        <v>0.36</v>
      </c>
      <c r="K7" s="9">
        <f>'Feb 2024'!K7+'March 2024'!J7</f>
        <v>36.780000000000008</v>
      </c>
      <c r="L7" s="9">
        <v>0</v>
      </c>
      <c r="M7" s="9">
        <f>'Feb 2024'!M7+'March 2024'!L7</f>
        <v>0</v>
      </c>
      <c r="N7" s="9">
        <f>I7+J7-L7</f>
        <v>211.65099999999998</v>
      </c>
      <c r="O7" s="10">
        <f>'Feb 2024'!T7</f>
        <v>264.90000000000009</v>
      </c>
      <c r="P7" s="9">
        <v>0</v>
      </c>
      <c r="Q7" s="9">
        <f>'Feb 2024'!Q7+'March 2024'!P7</f>
        <v>0</v>
      </c>
      <c r="R7" s="9">
        <v>0</v>
      </c>
      <c r="S7" s="9">
        <f>'Feb 2024'!S7+'March 2024'!R7</f>
        <v>19.239999999999998</v>
      </c>
      <c r="T7" s="10">
        <f>O7+P7-R7</f>
        <v>264.90000000000009</v>
      </c>
      <c r="U7" s="10">
        <f>H7+N7+T7</f>
        <v>560.52100000000075</v>
      </c>
      <c r="V7" s="11"/>
      <c r="W7" s="11"/>
    </row>
    <row r="8" spans="1:183" ht="42.75" customHeight="1">
      <c r="A8" s="7">
        <v>2</v>
      </c>
      <c r="B8" s="8" t="s">
        <v>15</v>
      </c>
      <c r="C8" s="9">
        <f>'Feb 2024'!H8</f>
        <v>499.50499999999977</v>
      </c>
      <c r="D8" s="9">
        <v>0.15</v>
      </c>
      <c r="E8" s="9">
        <f>'Feb 2024'!E8+'March 2024'!D8</f>
        <v>2.0400000000000005</v>
      </c>
      <c r="F8" s="9">
        <v>0</v>
      </c>
      <c r="G8" s="9">
        <f>'Feb 2024'!G8+'March 2024'!F8</f>
        <v>0</v>
      </c>
      <c r="H8" s="9">
        <f>C8+D8-F8</f>
        <v>499.65499999999975</v>
      </c>
      <c r="I8" s="9">
        <f>'Feb 2024'!N8</f>
        <v>163.35599999999999</v>
      </c>
      <c r="J8" s="9">
        <v>0.42</v>
      </c>
      <c r="K8" s="9">
        <f>'Feb 2024'!K8+'March 2024'!J8</f>
        <v>20.870000000000005</v>
      </c>
      <c r="L8" s="9">
        <v>0</v>
      </c>
      <c r="M8" s="9">
        <f>'Feb 2024'!M8+'March 2024'!L8</f>
        <v>0</v>
      </c>
      <c r="N8" s="9">
        <f>I8+J8-L8</f>
        <v>163.77599999999998</v>
      </c>
      <c r="O8" s="10">
        <f>'Feb 2024'!T8</f>
        <v>222.27000000000004</v>
      </c>
      <c r="P8" s="9">
        <v>0</v>
      </c>
      <c r="Q8" s="9">
        <f>'Feb 2024'!Q8+'March 2024'!P8</f>
        <v>0</v>
      </c>
      <c r="R8" s="9">
        <v>0</v>
      </c>
      <c r="S8" s="9">
        <f>'Feb 2024'!S8+'March 2024'!R8</f>
        <v>0</v>
      </c>
      <c r="T8" s="10">
        <f>O8+P8-R8</f>
        <v>222.27000000000004</v>
      </c>
      <c r="U8" s="10">
        <f>H8+N8+T8</f>
        <v>885.70099999999979</v>
      </c>
      <c r="V8" s="11"/>
      <c r="W8" s="11"/>
    </row>
    <row r="9" spans="1:183" ht="42.75" customHeight="1">
      <c r="A9" s="7">
        <v>3</v>
      </c>
      <c r="B9" s="8" t="s">
        <v>16</v>
      </c>
      <c r="C9" s="9">
        <f>'Feb 2024'!H9</f>
        <v>653.9599999999997</v>
      </c>
      <c r="D9" s="9">
        <v>0</v>
      </c>
      <c r="E9" s="9">
        <f>'Feb 2024'!E9+'March 2024'!D9</f>
        <v>0</v>
      </c>
      <c r="F9" s="9">
        <v>0</v>
      </c>
      <c r="G9" s="9">
        <f>'Feb 2024'!G9+'March 2024'!F9</f>
        <v>0</v>
      </c>
      <c r="H9" s="9">
        <f>C9+D9-F9</f>
        <v>653.9599999999997</v>
      </c>
      <c r="I9" s="9">
        <f>'Feb 2024'!N9</f>
        <v>240.32100000000003</v>
      </c>
      <c r="J9" s="9">
        <v>0.42</v>
      </c>
      <c r="K9" s="9">
        <f>'Feb 2024'!K9+'March 2024'!J9</f>
        <v>25.234999999999999</v>
      </c>
      <c r="L9" s="9">
        <v>0</v>
      </c>
      <c r="M9" s="9">
        <f>'Feb 2024'!M9+'March 2024'!L9</f>
        <v>0</v>
      </c>
      <c r="N9" s="9">
        <f>I9+J9-L9</f>
        <v>240.74100000000001</v>
      </c>
      <c r="O9" s="10">
        <f>'Feb 2024'!T9</f>
        <v>811.76999999999964</v>
      </c>
      <c r="P9" s="9">
        <v>0</v>
      </c>
      <c r="Q9" s="9">
        <f>'Feb 2024'!Q9+'March 2024'!P9</f>
        <v>545.17999999999995</v>
      </c>
      <c r="R9" s="9">
        <v>0.43</v>
      </c>
      <c r="S9" s="9">
        <f>'Feb 2024'!S9+'March 2024'!R9</f>
        <v>0.43</v>
      </c>
      <c r="T9" s="10">
        <f>O9+P9-R9</f>
        <v>811.33999999999969</v>
      </c>
      <c r="U9" s="10">
        <f>H9+N9+T9</f>
        <v>1706.0409999999993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'Feb 2024'!H10</f>
        <v>0</v>
      </c>
      <c r="D10" s="9">
        <v>0</v>
      </c>
      <c r="E10" s="9">
        <f>'Feb 2024'!E10+'March 2024'!D10</f>
        <v>0</v>
      </c>
      <c r="F10" s="9">
        <v>0</v>
      </c>
      <c r="G10" s="9">
        <f>'Feb 2024'!G10+'March 2024'!F10</f>
        <v>0</v>
      </c>
      <c r="H10" s="9">
        <f>C10+D10-F10</f>
        <v>0</v>
      </c>
      <c r="I10" s="9">
        <f>'Feb 2024'!N10</f>
        <v>148.57200000000006</v>
      </c>
      <c r="J10" s="9">
        <v>0.08</v>
      </c>
      <c r="K10" s="9">
        <f>'Feb 2024'!K10+'March 2024'!J10</f>
        <v>1.4270000000000003</v>
      </c>
      <c r="L10" s="9">
        <v>0</v>
      </c>
      <c r="M10" s="9">
        <f>'Feb 2024'!M10+'March 2024'!L10</f>
        <v>0</v>
      </c>
      <c r="N10" s="9">
        <f>I10+J10-L10</f>
        <v>148.65200000000007</v>
      </c>
      <c r="O10" s="10">
        <f>'Feb 2024'!T10</f>
        <v>234.27999999999997</v>
      </c>
      <c r="P10" s="9">
        <v>0</v>
      </c>
      <c r="Q10" s="9">
        <f>'Feb 2024'!Q10+'March 2024'!P10</f>
        <v>0</v>
      </c>
      <c r="R10" s="9">
        <v>0</v>
      </c>
      <c r="S10" s="9">
        <f>'Feb 2024'!S10+'March 2024'!R10</f>
        <v>0</v>
      </c>
      <c r="T10" s="10">
        <f>O10+P10-R10</f>
        <v>234.27999999999997</v>
      </c>
      <c r="U10" s="10">
        <f>H10+N10+T10</f>
        <v>382.93200000000002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SUM(C7:C10)</f>
        <v>1237.4349999999999</v>
      </c>
      <c r="D11" s="15">
        <f t="shared" ref="D11:U11" si="0">SUM(D7:D10)</f>
        <v>0.15</v>
      </c>
      <c r="E11" s="15">
        <f t="shared" si="0"/>
        <v>2.0400000000000005</v>
      </c>
      <c r="F11" s="15">
        <f t="shared" si="0"/>
        <v>0</v>
      </c>
      <c r="G11" s="15">
        <f t="shared" si="0"/>
        <v>0</v>
      </c>
      <c r="H11" s="15">
        <f t="shared" si="0"/>
        <v>1237.585</v>
      </c>
      <c r="I11" s="15">
        <f t="shared" si="0"/>
        <v>763.54</v>
      </c>
      <c r="J11" s="15">
        <f t="shared" si="0"/>
        <v>1.28</v>
      </c>
      <c r="K11" s="15">
        <f t="shared" si="0"/>
        <v>84.312000000000026</v>
      </c>
      <c r="L11" s="15">
        <f t="shared" si="0"/>
        <v>0</v>
      </c>
      <c r="M11" s="15">
        <f t="shared" si="0"/>
        <v>0</v>
      </c>
      <c r="N11" s="15">
        <f t="shared" si="0"/>
        <v>764.82</v>
      </c>
      <c r="O11" s="15">
        <f t="shared" si="0"/>
        <v>1533.2199999999998</v>
      </c>
      <c r="P11" s="15">
        <f t="shared" si="0"/>
        <v>0</v>
      </c>
      <c r="Q11" s="15">
        <f t="shared" si="0"/>
        <v>545.17999999999995</v>
      </c>
      <c r="R11" s="15">
        <f t="shared" si="0"/>
        <v>0.43</v>
      </c>
      <c r="S11" s="15">
        <f t="shared" si="0"/>
        <v>19.669999999999998</v>
      </c>
      <c r="T11" s="15">
        <f t="shared" si="0"/>
        <v>1532.7899999999997</v>
      </c>
      <c r="U11" s="15">
        <f t="shared" si="0"/>
        <v>3535.1949999999997</v>
      </c>
      <c r="V11" s="70"/>
      <c r="W11" s="70"/>
    </row>
    <row r="12" spans="1:183" ht="42.75" customHeight="1">
      <c r="A12" s="7">
        <v>5</v>
      </c>
      <c r="B12" s="8" t="s">
        <v>19</v>
      </c>
      <c r="C12" s="9">
        <f>'Feb 2024'!H12</f>
        <v>211.68999999999886</v>
      </c>
      <c r="D12" s="9">
        <v>0</v>
      </c>
      <c r="E12" s="9">
        <f>'Feb 2024'!E12+'March 2024'!D12</f>
        <v>0</v>
      </c>
      <c r="F12" s="9">
        <v>0</v>
      </c>
      <c r="G12" s="9">
        <f>'Feb 2024'!G12+'March 2024'!F12</f>
        <v>7.2</v>
      </c>
      <c r="H12" s="9">
        <f>C12+D12-F12</f>
        <v>211.68999999999886</v>
      </c>
      <c r="I12" s="9">
        <f>'Feb 2024'!N12</f>
        <v>95.052999999999997</v>
      </c>
      <c r="J12" s="9">
        <v>0.89</v>
      </c>
      <c r="K12" s="9">
        <f>'Feb 2024'!K12+'March 2024'!J12</f>
        <v>6.06</v>
      </c>
      <c r="L12" s="9">
        <v>0</v>
      </c>
      <c r="M12" s="9">
        <f>'Feb 2024'!M12+'March 2024'!L12</f>
        <v>0</v>
      </c>
      <c r="N12" s="9">
        <f>I12+J12-L12</f>
        <v>95.942999999999998</v>
      </c>
      <c r="O12" s="10">
        <f>'Feb 2024'!T12</f>
        <v>1570.1399999999999</v>
      </c>
      <c r="P12" s="9">
        <v>0</v>
      </c>
      <c r="Q12" s="9">
        <f>'Feb 2024'!Q12+'March 2024'!P12</f>
        <v>22.12</v>
      </c>
      <c r="R12" s="9">
        <v>0</v>
      </c>
      <c r="S12" s="9">
        <f>'Feb 2024'!S12+'March 2024'!R12</f>
        <v>0</v>
      </c>
      <c r="T12" s="10">
        <f>O12+P12-R12</f>
        <v>1570.1399999999999</v>
      </c>
      <c r="U12" s="10">
        <f>H12+N12+T12</f>
        <v>1877.7729999999988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'Feb 2024'!H13</f>
        <v>1023.7699999999998</v>
      </c>
      <c r="D13" s="9">
        <v>0</v>
      </c>
      <c r="E13" s="9">
        <f>'Feb 2024'!E13+'March 2024'!D13</f>
        <v>0</v>
      </c>
      <c r="F13" s="9">
        <v>0</v>
      </c>
      <c r="G13" s="9">
        <f>'Feb 2024'!G13+'March 2024'!F13</f>
        <v>0</v>
      </c>
      <c r="H13" s="9">
        <f>C13+D13-F13</f>
        <v>1023.7699999999998</v>
      </c>
      <c r="I13" s="9">
        <f>'Feb 2024'!N13</f>
        <v>166.42400000000006</v>
      </c>
      <c r="J13" s="9">
        <v>1.47</v>
      </c>
      <c r="K13" s="9">
        <f>'Feb 2024'!K13+'March 2024'!J13</f>
        <v>10.95</v>
      </c>
      <c r="L13" s="9">
        <v>0</v>
      </c>
      <c r="M13" s="9">
        <f>'Feb 2024'!M13+'March 2024'!L13</f>
        <v>0.72</v>
      </c>
      <c r="N13" s="9">
        <f>I13+J13-L13</f>
        <v>167.89400000000006</v>
      </c>
      <c r="O13" s="10">
        <f>'Feb 2024'!T13</f>
        <v>87.23</v>
      </c>
      <c r="P13" s="9">
        <v>0</v>
      </c>
      <c r="Q13" s="9">
        <f>'Feb 2024'!Q13+'March 2024'!P13</f>
        <v>0.03</v>
      </c>
      <c r="R13" s="9">
        <v>0</v>
      </c>
      <c r="S13" s="9">
        <f>'Feb 2024'!S13+'March 2024'!R13</f>
        <v>0</v>
      </c>
      <c r="T13" s="10">
        <f>O13+P13-R13</f>
        <v>87.23</v>
      </c>
      <c r="U13" s="10">
        <f>H13+N13+T13</f>
        <v>1278.8939999999998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'Feb 2024'!H14</f>
        <v>2075.7999999999993</v>
      </c>
      <c r="D14" s="9">
        <v>0</v>
      </c>
      <c r="E14" s="9">
        <f>'Feb 2024'!E14+'March 2024'!D14</f>
        <v>0</v>
      </c>
      <c r="F14" s="9">
        <v>49.18</v>
      </c>
      <c r="G14" s="9">
        <f>'Feb 2024'!G14+'March 2024'!F14</f>
        <v>57.96</v>
      </c>
      <c r="H14" s="9">
        <f>C14+D14-F14</f>
        <v>2026.6199999999992</v>
      </c>
      <c r="I14" s="9">
        <f>'Feb 2024'!N14</f>
        <v>215.47400000000002</v>
      </c>
      <c r="J14" s="9">
        <v>0.81</v>
      </c>
      <c r="K14" s="9">
        <f>'Feb 2024'!K14+'March 2024'!J14</f>
        <v>15.43</v>
      </c>
      <c r="L14" s="9">
        <v>0</v>
      </c>
      <c r="M14" s="9">
        <f>'Feb 2024'!M14+'March 2024'!L14</f>
        <v>8.2799999999999994</v>
      </c>
      <c r="N14" s="9">
        <f>I14+J14-L14</f>
        <v>216.28400000000002</v>
      </c>
      <c r="O14" s="10">
        <f>'Feb 2024'!T14</f>
        <v>413.08999999999992</v>
      </c>
      <c r="P14" s="9">
        <v>23.52</v>
      </c>
      <c r="Q14" s="9">
        <f>'Feb 2024'!Q14+'March 2024'!P14</f>
        <v>33.03</v>
      </c>
      <c r="R14" s="9">
        <v>0</v>
      </c>
      <c r="S14" s="9">
        <f>'Feb 2024'!S14+'March 2024'!R14</f>
        <v>0</v>
      </c>
      <c r="T14" s="10">
        <f>O14+P14-R14</f>
        <v>436.6099999999999</v>
      </c>
      <c r="U14" s="10">
        <f>H14+N14+T14</f>
        <v>2679.5139999999992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SUM(C12:C14)</f>
        <v>3311.2599999999979</v>
      </c>
      <c r="D15" s="15">
        <f t="shared" ref="D15:U15" si="1">SUM(D12:D14)</f>
        <v>0</v>
      </c>
      <c r="E15" s="15">
        <f t="shared" si="1"/>
        <v>0</v>
      </c>
      <c r="F15" s="15">
        <f t="shared" si="1"/>
        <v>49.18</v>
      </c>
      <c r="G15" s="15">
        <f t="shared" si="1"/>
        <v>65.16</v>
      </c>
      <c r="H15" s="15">
        <f t="shared" si="1"/>
        <v>3262.0799999999981</v>
      </c>
      <c r="I15" s="15">
        <f t="shared" si="1"/>
        <v>476.95100000000014</v>
      </c>
      <c r="J15" s="15">
        <f t="shared" si="1"/>
        <v>3.17</v>
      </c>
      <c r="K15" s="15">
        <f t="shared" si="1"/>
        <v>32.44</v>
      </c>
      <c r="L15" s="15">
        <f t="shared" si="1"/>
        <v>0</v>
      </c>
      <c r="M15" s="15">
        <f t="shared" si="1"/>
        <v>9</v>
      </c>
      <c r="N15" s="15">
        <f t="shared" si="1"/>
        <v>480.12100000000009</v>
      </c>
      <c r="O15" s="15">
        <f t="shared" si="1"/>
        <v>2070.46</v>
      </c>
      <c r="P15" s="15">
        <f t="shared" si="1"/>
        <v>23.52</v>
      </c>
      <c r="Q15" s="15">
        <f t="shared" si="1"/>
        <v>55.180000000000007</v>
      </c>
      <c r="R15" s="15">
        <f t="shared" si="1"/>
        <v>0</v>
      </c>
      <c r="S15" s="15">
        <f t="shared" si="1"/>
        <v>0</v>
      </c>
      <c r="T15" s="15">
        <f t="shared" si="1"/>
        <v>2093.9799999999996</v>
      </c>
      <c r="U15" s="15">
        <f t="shared" si="1"/>
        <v>5836.1809999999978</v>
      </c>
      <c r="V15" s="70"/>
      <c r="W15" s="70"/>
    </row>
    <row r="16" spans="1:183" ht="42.75" customHeight="1">
      <c r="A16" s="7">
        <v>8</v>
      </c>
      <c r="B16" s="8" t="s">
        <v>24</v>
      </c>
      <c r="C16" s="9">
        <f>'Feb 2024'!H16</f>
        <v>1312.8119999999997</v>
      </c>
      <c r="D16" s="9">
        <v>0.59</v>
      </c>
      <c r="E16" s="9">
        <f>'Feb 2024'!E16+'March 2024'!D16</f>
        <v>17.27</v>
      </c>
      <c r="F16" s="9">
        <v>0</v>
      </c>
      <c r="G16" s="9">
        <f>'Feb 2024'!G16+'March 2024'!F16</f>
        <v>11.2</v>
      </c>
      <c r="H16" s="9">
        <f>C16+D16-F16</f>
        <v>1313.4019999999996</v>
      </c>
      <c r="I16" s="9">
        <f>'Feb 2024'!N16</f>
        <v>121.36000000000006</v>
      </c>
      <c r="J16" s="9">
        <v>1.44</v>
      </c>
      <c r="K16" s="9">
        <f>'Feb 2024'!K16+'March 2024'!J16</f>
        <v>8.83</v>
      </c>
      <c r="L16" s="9">
        <v>0</v>
      </c>
      <c r="M16" s="9">
        <f>'Feb 2024'!M16+'March 2024'!L16</f>
        <v>0</v>
      </c>
      <c r="N16" s="9">
        <f>I16+J16-L16</f>
        <v>122.80000000000005</v>
      </c>
      <c r="O16" s="10">
        <f>'Feb 2024'!T16</f>
        <v>983.76900000000012</v>
      </c>
      <c r="P16" s="9">
        <v>4.7699999999999996</v>
      </c>
      <c r="Q16" s="9">
        <f>'Feb 2024'!Q16+'March 2024'!P16</f>
        <v>113.28999999999999</v>
      </c>
      <c r="R16" s="9">
        <v>0</v>
      </c>
      <c r="S16" s="9">
        <f>'Feb 2024'!S16+'March 2024'!R16</f>
        <v>0</v>
      </c>
      <c r="T16" s="9">
        <f>O16+P16-R16</f>
        <v>988.5390000000001</v>
      </c>
      <c r="U16" s="10">
        <f>H16+N16+T16</f>
        <v>2424.7409999999995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'Feb 2024'!H17</f>
        <v>236.45399999999989</v>
      </c>
      <c r="D17" s="9">
        <v>0</v>
      </c>
      <c r="E17" s="9">
        <f>'Feb 2024'!E17+'March 2024'!D17</f>
        <v>0</v>
      </c>
      <c r="F17" s="9">
        <v>0</v>
      </c>
      <c r="G17" s="9">
        <f>'Feb 2024'!G17+'March 2024'!F17</f>
        <v>2.9000000000000004</v>
      </c>
      <c r="H17" s="9">
        <f>C17+D17-F17</f>
        <v>236.45399999999989</v>
      </c>
      <c r="I17" s="9">
        <f>'Feb 2024'!N17</f>
        <v>31.716999999999995</v>
      </c>
      <c r="J17" s="9">
        <v>0.1</v>
      </c>
      <c r="K17" s="9">
        <f>'Feb 2024'!K17+'March 2024'!J17</f>
        <v>2.12</v>
      </c>
      <c r="L17" s="9">
        <v>0</v>
      </c>
      <c r="M17" s="9">
        <f>'Feb 2024'!M17+'March 2024'!L17</f>
        <v>0</v>
      </c>
      <c r="N17" s="9">
        <f>I17+J17-L17</f>
        <v>31.816999999999997</v>
      </c>
      <c r="O17" s="10">
        <f>'Feb 2024'!T17</f>
        <v>502.101</v>
      </c>
      <c r="P17" s="9">
        <v>0</v>
      </c>
      <c r="Q17" s="9">
        <f>'Feb 2024'!Q17+'March 2024'!P17</f>
        <v>87.56</v>
      </c>
      <c r="R17" s="9">
        <v>0</v>
      </c>
      <c r="S17" s="9">
        <f>'Feb 2024'!S17+'March 2024'!R17</f>
        <v>0</v>
      </c>
      <c r="T17" s="9">
        <f>O17+P17-R17</f>
        <v>502.101</v>
      </c>
      <c r="U17" s="10">
        <f>H17+N17+T17</f>
        <v>770.37199999999984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'Feb 2024'!H18</f>
        <v>478.13499999999931</v>
      </c>
      <c r="D18" s="9">
        <v>0</v>
      </c>
      <c r="E18" s="9">
        <f>'Feb 2024'!E18+'March 2024'!D18</f>
        <v>0</v>
      </c>
      <c r="F18" s="9">
        <v>0</v>
      </c>
      <c r="G18" s="9">
        <f>'Feb 2024'!G18+'March 2024'!F18</f>
        <v>0</v>
      </c>
      <c r="H18" s="9">
        <f>C18+D18-F18</f>
        <v>478.13499999999931</v>
      </c>
      <c r="I18" s="9">
        <f>'Feb 2024'!N18</f>
        <v>17.169999999999991</v>
      </c>
      <c r="J18" s="9">
        <v>0</v>
      </c>
      <c r="K18" s="9">
        <f>'Feb 2024'!K18+'March 2024'!J18</f>
        <v>3.4899999999999998</v>
      </c>
      <c r="L18" s="9">
        <v>0</v>
      </c>
      <c r="M18" s="9">
        <f>'Feb 2024'!M18+'March 2024'!L18</f>
        <v>1.46</v>
      </c>
      <c r="N18" s="9">
        <f>I18+J18-L18</f>
        <v>17.169999999999991</v>
      </c>
      <c r="O18" s="10">
        <f>'Feb 2024'!T18</f>
        <v>481.20799999999997</v>
      </c>
      <c r="P18" s="9">
        <v>0.1</v>
      </c>
      <c r="Q18" s="9">
        <f>'Feb 2024'!Q18+'March 2024'!P18</f>
        <v>1.1700000000000002</v>
      </c>
      <c r="R18" s="9">
        <v>0</v>
      </c>
      <c r="S18" s="9">
        <f>'Feb 2024'!S18+'March 2024'!R18</f>
        <v>0.7</v>
      </c>
      <c r="T18" s="9">
        <f>O18+P18-R18</f>
        <v>481.30799999999999</v>
      </c>
      <c r="U18" s="10">
        <f>H18+N18+T18</f>
        <v>976.61299999999937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SUM(C16:C18)</f>
        <v>2027.4009999999989</v>
      </c>
      <c r="D19" s="15">
        <f t="shared" ref="D19:U19" si="2">SUM(D16:D18)</f>
        <v>0.59</v>
      </c>
      <c r="E19" s="15">
        <f t="shared" si="2"/>
        <v>17.27</v>
      </c>
      <c r="F19" s="15">
        <f t="shared" si="2"/>
        <v>0</v>
      </c>
      <c r="G19" s="15">
        <f t="shared" si="2"/>
        <v>14.1</v>
      </c>
      <c r="H19" s="15">
        <f t="shared" si="2"/>
        <v>2027.9909999999988</v>
      </c>
      <c r="I19" s="15">
        <f t="shared" si="2"/>
        <v>170.24700000000004</v>
      </c>
      <c r="J19" s="15">
        <f t="shared" si="2"/>
        <v>1.54</v>
      </c>
      <c r="K19" s="15">
        <f t="shared" si="2"/>
        <v>14.44</v>
      </c>
      <c r="L19" s="15">
        <f t="shared" si="2"/>
        <v>0</v>
      </c>
      <c r="M19" s="15">
        <f t="shared" si="2"/>
        <v>1.46</v>
      </c>
      <c r="N19" s="15">
        <f t="shared" si="2"/>
        <v>171.78700000000003</v>
      </c>
      <c r="O19" s="15">
        <f t="shared" si="2"/>
        <v>1967.078</v>
      </c>
      <c r="P19" s="15">
        <f t="shared" si="2"/>
        <v>4.8699999999999992</v>
      </c>
      <c r="Q19" s="15">
        <f t="shared" si="2"/>
        <v>202.01999999999998</v>
      </c>
      <c r="R19" s="15">
        <f t="shared" si="2"/>
        <v>0</v>
      </c>
      <c r="S19" s="15">
        <f t="shared" si="2"/>
        <v>0.7</v>
      </c>
      <c r="T19" s="15">
        <f t="shared" si="2"/>
        <v>1971.9480000000001</v>
      </c>
      <c r="U19" s="15">
        <f t="shared" si="2"/>
        <v>4171.7259999999987</v>
      </c>
      <c r="V19" s="70"/>
      <c r="W19" s="70"/>
    </row>
    <row r="20" spans="1:23" ht="42.75" customHeight="1">
      <c r="A20" s="7">
        <v>11</v>
      </c>
      <c r="B20" s="8" t="s">
        <v>28</v>
      </c>
      <c r="C20" s="9">
        <f>'Feb 2024'!H20</f>
        <v>1024.4549999999992</v>
      </c>
      <c r="D20" s="9">
        <v>0</v>
      </c>
      <c r="E20" s="9">
        <f>'Feb 2024'!E20+'March 2024'!D20</f>
        <v>0</v>
      </c>
      <c r="F20" s="9">
        <v>0</v>
      </c>
      <c r="G20" s="9">
        <f>'Feb 2024'!G20+'March 2024'!F20</f>
        <v>0</v>
      </c>
      <c r="H20" s="9">
        <f>C20+D20-F20</f>
        <v>1024.4549999999992</v>
      </c>
      <c r="I20" s="9">
        <f>'Feb 2024'!N20</f>
        <v>158.10100000000014</v>
      </c>
      <c r="J20" s="9">
        <v>0.34</v>
      </c>
      <c r="K20" s="9">
        <f>'Feb 2024'!K20+'March 2024'!J20</f>
        <v>3.2</v>
      </c>
      <c r="L20" s="9">
        <v>0</v>
      </c>
      <c r="M20" s="9">
        <f>'Feb 2024'!M20+'March 2024'!L20</f>
        <v>0</v>
      </c>
      <c r="N20" s="9">
        <f>I20+J20-L20</f>
        <v>158.44100000000014</v>
      </c>
      <c r="O20" s="10">
        <f>'Feb 2024'!T20</f>
        <v>746.03099999999984</v>
      </c>
      <c r="P20" s="9">
        <v>0.04</v>
      </c>
      <c r="Q20" s="9">
        <f>'Feb 2024'!Q20+'March 2024'!P20</f>
        <v>3.35</v>
      </c>
      <c r="R20" s="9">
        <v>0</v>
      </c>
      <c r="S20" s="9">
        <f>'Feb 2024'!S20+'March 2024'!R20</f>
        <v>0</v>
      </c>
      <c r="T20" s="10">
        <f>O20+P20-R20</f>
        <v>746.0709999999998</v>
      </c>
      <c r="U20" s="10">
        <f>H20+N20+T20</f>
        <v>1928.9669999999992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'Feb 2024'!H21</f>
        <v>52.019999999999882</v>
      </c>
      <c r="D21" s="9">
        <v>0</v>
      </c>
      <c r="E21" s="9">
        <f>'Feb 2024'!E21+'March 2024'!D21</f>
        <v>0</v>
      </c>
      <c r="F21" s="9">
        <v>0</v>
      </c>
      <c r="G21" s="9">
        <f>'Feb 2024'!G21+'March 2024'!F21</f>
        <v>90.67</v>
      </c>
      <c r="H21" s="9">
        <f>C21+D21-F21</f>
        <v>52.019999999999882</v>
      </c>
      <c r="I21" s="9">
        <f>'Feb 2024'!N21</f>
        <v>56.47300000000002</v>
      </c>
      <c r="J21" s="9">
        <v>0</v>
      </c>
      <c r="K21" s="9">
        <f>'Feb 2024'!K21+'March 2024'!J21</f>
        <v>3.6900000000000004</v>
      </c>
      <c r="L21" s="9">
        <v>0</v>
      </c>
      <c r="M21" s="9">
        <f>'Feb 2024'!M21+'March 2024'!L21</f>
        <v>0</v>
      </c>
      <c r="N21" s="9">
        <f>I21+J21-L21</f>
        <v>56.47300000000002</v>
      </c>
      <c r="O21" s="10">
        <f>'Feb 2024'!T21</f>
        <v>315.22999999999996</v>
      </c>
      <c r="P21" s="9">
        <v>1.63</v>
      </c>
      <c r="Q21" s="9">
        <f>'Feb 2024'!Q21+'March 2024'!P21</f>
        <v>8.44</v>
      </c>
      <c r="R21" s="9">
        <v>0</v>
      </c>
      <c r="S21" s="9">
        <f>'Feb 2024'!S21+'March 2024'!R21</f>
        <v>2.48</v>
      </c>
      <c r="T21" s="10">
        <f>O21+P21-R21</f>
        <v>316.85999999999996</v>
      </c>
      <c r="U21" s="10">
        <f>H21+N21+T21</f>
        <v>425.35299999999984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'Feb 2024'!H22</f>
        <v>27.069999999999879</v>
      </c>
      <c r="D22" s="9">
        <v>0</v>
      </c>
      <c r="E22" s="9">
        <f>'Feb 2024'!E22+'March 2024'!D22</f>
        <v>0</v>
      </c>
      <c r="F22" s="9">
        <v>0</v>
      </c>
      <c r="G22" s="9">
        <f>'Feb 2024'!G22+'March 2024'!F22</f>
        <v>0</v>
      </c>
      <c r="H22" s="9">
        <f>C22+D22-F22</f>
        <v>27.069999999999879</v>
      </c>
      <c r="I22" s="9">
        <f>'Feb 2024'!N22</f>
        <v>16.320000000000004</v>
      </c>
      <c r="J22" s="9">
        <v>0</v>
      </c>
      <c r="K22" s="9">
        <f>'Feb 2024'!K22+'March 2024'!J22</f>
        <v>0.38</v>
      </c>
      <c r="L22" s="9">
        <v>0</v>
      </c>
      <c r="M22" s="9">
        <f>'Feb 2024'!M22+'March 2024'!L22</f>
        <v>0</v>
      </c>
      <c r="N22" s="9">
        <f>I22+J22-L22</f>
        <v>16.320000000000004</v>
      </c>
      <c r="O22" s="10">
        <f>'Feb 2024'!T22</f>
        <v>776.79999999999961</v>
      </c>
      <c r="P22" s="9">
        <v>0.05</v>
      </c>
      <c r="Q22" s="9">
        <f>'Feb 2024'!Q22+'March 2024'!P22</f>
        <v>0.82000000000000006</v>
      </c>
      <c r="R22" s="9">
        <v>0</v>
      </c>
      <c r="S22" s="9">
        <f>'Feb 2024'!S22+'March 2024'!R22</f>
        <v>0</v>
      </c>
      <c r="T22" s="10">
        <f>O22+P22-R22</f>
        <v>776.84999999999957</v>
      </c>
      <c r="U22" s="10">
        <f>H22+N22+T22</f>
        <v>820.23999999999944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'Feb 2024'!H23</f>
        <v>1151.0619999999999</v>
      </c>
      <c r="D23" s="9">
        <v>0.6</v>
      </c>
      <c r="E23" s="9">
        <f>'Feb 2024'!E23+'March 2024'!D23</f>
        <v>18.459999999999997</v>
      </c>
      <c r="F23" s="9">
        <v>0</v>
      </c>
      <c r="G23" s="9">
        <f>'Feb 2024'!G23+'March 2024'!F23</f>
        <v>0</v>
      </c>
      <c r="H23" s="9">
        <f>C23+D23-F23</f>
        <v>1151.6619999999998</v>
      </c>
      <c r="I23" s="9">
        <f>'Feb 2024'!N23</f>
        <v>58.693999999999988</v>
      </c>
      <c r="J23" s="9">
        <v>2</v>
      </c>
      <c r="K23" s="9">
        <f>'Feb 2024'!K23+'March 2024'!J23</f>
        <v>10.489999999999998</v>
      </c>
      <c r="L23" s="9">
        <v>0</v>
      </c>
      <c r="M23" s="9">
        <f>'Feb 2024'!M23+'March 2024'!L23</f>
        <v>0</v>
      </c>
      <c r="N23" s="9">
        <f>I23+J23-L23</f>
        <v>60.693999999999988</v>
      </c>
      <c r="O23" s="10">
        <f>'Feb 2024'!T23</f>
        <v>415.61499999999995</v>
      </c>
      <c r="P23" s="9">
        <v>0.39</v>
      </c>
      <c r="Q23" s="9">
        <f>'Feb 2024'!Q23+'March 2024'!P23</f>
        <v>11.170000000000002</v>
      </c>
      <c r="R23" s="9">
        <v>0</v>
      </c>
      <c r="S23" s="9">
        <f>'Feb 2024'!S23+'March 2024'!R23</f>
        <v>0</v>
      </c>
      <c r="T23" s="10">
        <f>O23+P23-R23</f>
        <v>416.00499999999994</v>
      </c>
      <c r="U23" s="10">
        <f>H23+N23+T23</f>
        <v>1628.3609999999996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SUM(C20:C23)</f>
        <v>2254.6069999999991</v>
      </c>
      <c r="D24" s="15">
        <f t="shared" ref="D24:U24" si="3">SUM(D20:D23)</f>
        <v>0.6</v>
      </c>
      <c r="E24" s="15">
        <f t="shared" si="3"/>
        <v>18.459999999999997</v>
      </c>
      <c r="F24" s="15">
        <f t="shared" si="3"/>
        <v>0</v>
      </c>
      <c r="G24" s="15">
        <f t="shared" si="3"/>
        <v>90.67</v>
      </c>
      <c r="H24" s="15">
        <f t="shared" si="3"/>
        <v>2255.206999999999</v>
      </c>
      <c r="I24" s="15">
        <f t="shared" si="3"/>
        <v>289.58800000000014</v>
      </c>
      <c r="J24" s="15">
        <f t="shared" si="3"/>
        <v>2.34</v>
      </c>
      <c r="K24" s="15">
        <f t="shared" si="3"/>
        <v>17.759999999999998</v>
      </c>
      <c r="L24" s="15">
        <f t="shared" si="3"/>
        <v>0</v>
      </c>
      <c r="M24" s="15">
        <f t="shared" si="3"/>
        <v>0</v>
      </c>
      <c r="N24" s="15">
        <f t="shared" si="3"/>
        <v>291.92800000000011</v>
      </c>
      <c r="O24" s="15">
        <f t="shared" si="3"/>
        <v>2253.675999999999</v>
      </c>
      <c r="P24" s="15">
        <f t="shared" si="3"/>
        <v>2.11</v>
      </c>
      <c r="Q24" s="15">
        <f t="shared" si="3"/>
        <v>23.78</v>
      </c>
      <c r="R24" s="15">
        <f t="shared" si="3"/>
        <v>0</v>
      </c>
      <c r="S24" s="15">
        <f t="shared" si="3"/>
        <v>2.48</v>
      </c>
      <c r="T24" s="15">
        <f t="shared" si="3"/>
        <v>2255.7859999999996</v>
      </c>
      <c r="U24" s="15">
        <f t="shared" si="3"/>
        <v>4802.9209999999975</v>
      </c>
      <c r="V24" s="70"/>
      <c r="W24" s="70"/>
    </row>
    <row r="25" spans="1:23" s="16" customFormat="1" ht="42.75" customHeight="1">
      <c r="A25" s="13"/>
      <c r="B25" s="14" t="s">
        <v>33</v>
      </c>
      <c r="C25" s="15">
        <f>C24+C19+C15+C11</f>
        <v>8830.7029999999959</v>
      </c>
      <c r="D25" s="15">
        <f t="shared" ref="D25:U25" si="4">D24+D19+D15+D11</f>
        <v>1.3399999999999999</v>
      </c>
      <c r="E25" s="15">
        <f t="shared" si="4"/>
        <v>37.769999999999996</v>
      </c>
      <c r="F25" s="15">
        <f t="shared" si="4"/>
        <v>49.18</v>
      </c>
      <c r="G25" s="15">
        <f t="shared" si="4"/>
        <v>169.93</v>
      </c>
      <c r="H25" s="15">
        <f t="shared" si="4"/>
        <v>8782.8629999999957</v>
      </c>
      <c r="I25" s="15">
        <f t="shared" si="4"/>
        <v>1700.3260000000002</v>
      </c>
      <c r="J25" s="15">
        <f t="shared" si="4"/>
        <v>8.33</v>
      </c>
      <c r="K25" s="15">
        <f t="shared" si="4"/>
        <v>148.952</v>
      </c>
      <c r="L25" s="15">
        <f t="shared" si="4"/>
        <v>0</v>
      </c>
      <c r="M25" s="15">
        <f t="shared" si="4"/>
        <v>10.46</v>
      </c>
      <c r="N25" s="15">
        <f t="shared" si="4"/>
        <v>1708.6560000000004</v>
      </c>
      <c r="O25" s="15">
        <f t="shared" si="4"/>
        <v>7824.4339999999993</v>
      </c>
      <c r="P25" s="15">
        <f t="shared" si="4"/>
        <v>30.5</v>
      </c>
      <c r="Q25" s="15">
        <f t="shared" si="4"/>
        <v>826.16</v>
      </c>
      <c r="R25" s="15">
        <f t="shared" si="4"/>
        <v>0.43</v>
      </c>
      <c r="S25" s="15">
        <f t="shared" si="4"/>
        <v>22.849999999999998</v>
      </c>
      <c r="T25" s="15">
        <f t="shared" si="4"/>
        <v>7854.503999999999</v>
      </c>
      <c r="U25" s="15">
        <f t="shared" si="4"/>
        <v>18346.022999999994</v>
      </c>
      <c r="V25" s="70"/>
      <c r="W25" s="70"/>
    </row>
    <row r="26" spans="1:23" ht="42.75" customHeight="1">
      <c r="A26" s="7">
        <v>15</v>
      </c>
      <c r="B26" s="8" t="s">
        <v>34</v>
      </c>
      <c r="C26" s="9">
        <f>'Feb 2024'!H26</f>
        <v>1323.3019999999999</v>
      </c>
      <c r="D26" s="9">
        <v>4.8600000000000003</v>
      </c>
      <c r="E26" s="9">
        <f>'Feb 2024'!E26+'March 2024'!D26</f>
        <v>90.18</v>
      </c>
      <c r="F26" s="9">
        <v>0</v>
      </c>
      <c r="G26" s="9">
        <f>'Feb 2024'!G26+'March 2024'!F26</f>
        <v>0.02</v>
      </c>
      <c r="H26" s="9">
        <f>C26+D26-F26</f>
        <v>1328.1619999999998</v>
      </c>
      <c r="I26" s="9">
        <f>'Feb 2024'!N26</f>
        <v>0.78</v>
      </c>
      <c r="J26" s="9">
        <v>0</v>
      </c>
      <c r="K26" s="9">
        <f>'Feb 2024'!K26+'March 2024'!J26</f>
        <v>0.67</v>
      </c>
      <c r="L26" s="9">
        <v>0</v>
      </c>
      <c r="M26" s="9">
        <f>'Feb 2024'!M26+'March 2024'!L26</f>
        <v>0</v>
      </c>
      <c r="N26" s="9">
        <f>I26+J26-L26</f>
        <v>0.78</v>
      </c>
      <c r="O26" s="10">
        <f>'Feb 2024'!T26</f>
        <v>206.98000000000002</v>
      </c>
      <c r="P26" s="9">
        <v>0</v>
      </c>
      <c r="Q26" s="9">
        <f>'Feb 2024'!Q26+'March 2024'!P26</f>
        <v>3.25</v>
      </c>
      <c r="R26" s="9">
        <v>0</v>
      </c>
      <c r="S26" s="9">
        <f>'Feb 2024'!S26+'March 2024'!R26</f>
        <v>0</v>
      </c>
      <c r="T26" s="10">
        <f>O26+P26-R26</f>
        <v>206.98000000000002</v>
      </c>
      <c r="U26" s="10">
        <f>H26+N26+T26</f>
        <v>1535.9219999999998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'Feb 2024'!H27</f>
        <v>10519.356999999995</v>
      </c>
      <c r="D27" s="9">
        <v>15.75</v>
      </c>
      <c r="E27" s="9">
        <f>'Feb 2024'!E27+'March 2024'!D27</f>
        <v>120.94999999999999</v>
      </c>
      <c r="F27" s="9">
        <v>0</v>
      </c>
      <c r="G27" s="9">
        <f>'Feb 2024'!G27+'March 2024'!F27</f>
        <v>0</v>
      </c>
      <c r="H27" s="9">
        <f>C27+D27-F27</f>
        <v>10535.106999999995</v>
      </c>
      <c r="I27" s="9">
        <f>'Feb 2024'!N27</f>
        <v>455.29499999999996</v>
      </c>
      <c r="J27" s="9">
        <v>0.55000000000000004</v>
      </c>
      <c r="K27" s="9">
        <f>'Feb 2024'!K27+'March 2024'!J27</f>
        <v>47.409999999999989</v>
      </c>
      <c r="L27" s="9">
        <v>0</v>
      </c>
      <c r="M27" s="9">
        <f>'Feb 2024'!M27+'March 2024'!L27</f>
        <v>0</v>
      </c>
      <c r="N27" s="9">
        <f>I27+J27-L27</f>
        <v>455.84499999999997</v>
      </c>
      <c r="O27" s="10">
        <f>'Feb 2024'!T27</f>
        <v>54.060000000000024</v>
      </c>
      <c r="P27" s="9">
        <v>1.72</v>
      </c>
      <c r="Q27" s="9">
        <f>'Feb 2024'!Q27+'March 2024'!P27</f>
        <v>12.26</v>
      </c>
      <c r="R27" s="9">
        <v>0</v>
      </c>
      <c r="S27" s="9">
        <f>'Feb 2024'!S27+'March 2024'!R27</f>
        <v>0</v>
      </c>
      <c r="T27" s="10">
        <f>O27+P27-R27</f>
        <v>55.780000000000022</v>
      </c>
      <c r="U27" s="10">
        <f>H27+N27+T27</f>
        <v>11046.731999999995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SUM(C26:C27)</f>
        <v>11842.658999999994</v>
      </c>
      <c r="D28" s="15">
        <f t="shared" ref="D28:U28" si="5">SUM(D26:D27)</f>
        <v>20.61</v>
      </c>
      <c r="E28" s="15">
        <f t="shared" si="5"/>
        <v>211.13</v>
      </c>
      <c r="F28" s="15">
        <f t="shared" si="5"/>
        <v>0</v>
      </c>
      <c r="G28" s="15">
        <f t="shared" si="5"/>
        <v>0.02</v>
      </c>
      <c r="H28" s="15">
        <f t="shared" si="5"/>
        <v>11863.268999999995</v>
      </c>
      <c r="I28" s="15">
        <f t="shared" si="5"/>
        <v>456.07499999999993</v>
      </c>
      <c r="J28" s="15">
        <f t="shared" si="5"/>
        <v>0.55000000000000004</v>
      </c>
      <c r="K28" s="15">
        <f t="shared" si="5"/>
        <v>48.079999999999991</v>
      </c>
      <c r="L28" s="15">
        <f t="shared" si="5"/>
        <v>0</v>
      </c>
      <c r="M28" s="15">
        <f t="shared" si="5"/>
        <v>0</v>
      </c>
      <c r="N28" s="15">
        <f t="shared" si="5"/>
        <v>456.62499999999994</v>
      </c>
      <c r="O28" s="15">
        <f t="shared" si="5"/>
        <v>261.04000000000002</v>
      </c>
      <c r="P28" s="15">
        <f t="shared" si="5"/>
        <v>1.72</v>
      </c>
      <c r="Q28" s="15">
        <f t="shared" si="5"/>
        <v>15.51</v>
      </c>
      <c r="R28" s="15">
        <f t="shared" si="5"/>
        <v>0</v>
      </c>
      <c r="S28" s="15">
        <f t="shared" si="5"/>
        <v>0</v>
      </c>
      <c r="T28" s="15">
        <f t="shared" si="5"/>
        <v>262.76000000000005</v>
      </c>
      <c r="U28" s="15">
        <f t="shared" si="5"/>
        <v>12582.653999999995</v>
      </c>
      <c r="V28" s="70"/>
      <c r="W28" s="70"/>
    </row>
    <row r="29" spans="1:23" ht="42.75" customHeight="1">
      <c r="A29" s="7">
        <v>17</v>
      </c>
      <c r="B29" s="8" t="s">
        <v>37</v>
      </c>
      <c r="C29" s="9">
        <f>'Feb 2024'!H29</f>
        <v>4683.1040000000012</v>
      </c>
      <c r="D29" s="9">
        <v>9.06</v>
      </c>
      <c r="E29" s="9">
        <f>'Feb 2024'!E29+'March 2024'!D29</f>
        <v>141.125</v>
      </c>
      <c r="F29" s="9">
        <v>0</v>
      </c>
      <c r="G29" s="9">
        <f>'Feb 2024'!G29+'March 2024'!F29</f>
        <v>0</v>
      </c>
      <c r="H29" s="9">
        <f>C29+D29-F29</f>
        <v>4692.1640000000016</v>
      </c>
      <c r="I29" s="9">
        <f>'Feb 2024'!N29</f>
        <v>185.51</v>
      </c>
      <c r="J29" s="9">
        <v>0</v>
      </c>
      <c r="K29" s="9">
        <f>'Feb 2024'!K29+'March 2024'!J29</f>
        <v>0.81</v>
      </c>
      <c r="L29" s="9">
        <v>0</v>
      </c>
      <c r="M29" s="9">
        <f>'Feb 2024'!M29+'March 2024'!L29</f>
        <v>0</v>
      </c>
      <c r="N29" s="9">
        <f>I29+J29-L29</f>
        <v>185.51</v>
      </c>
      <c r="O29" s="10">
        <f>'Feb 2024'!T29</f>
        <v>790.79599999999982</v>
      </c>
      <c r="P29" s="9">
        <v>0.11</v>
      </c>
      <c r="Q29" s="9">
        <f>'Feb 2024'!Q29+'March 2024'!P29</f>
        <v>273.63599999999997</v>
      </c>
      <c r="R29" s="9">
        <v>0</v>
      </c>
      <c r="S29" s="9">
        <f>'Feb 2024'!S29+'March 2024'!R29</f>
        <v>0</v>
      </c>
      <c r="T29" s="10">
        <f>O29+P29-R29</f>
        <v>790.90599999999984</v>
      </c>
      <c r="U29" s="10">
        <f>H29+N29+T29</f>
        <v>5668.5800000000017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'Feb 2024'!H30</f>
        <v>6601.742000000002</v>
      </c>
      <c r="D30" s="9">
        <v>4.97</v>
      </c>
      <c r="E30" s="9">
        <f>'Feb 2024'!E30+'March 2024'!D30</f>
        <v>155.71999999999997</v>
      </c>
      <c r="F30" s="9">
        <v>0</v>
      </c>
      <c r="G30" s="9">
        <f>'Feb 2024'!G30+'March 2024'!F30</f>
        <v>0</v>
      </c>
      <c r="H30" s="9">
        <f>C30+D30-F30</f>
        <v>6606.7120000000023</v>
      </c>
      <c r="I30" s="9">
        <f>'Feb 2024'!N30</f>
        <v>134.93</v>
      </c>
      <c r="J30" s="9">
        <v>0</v>
      </c>
      <c r="K30" s="9">
        <f>'Feb 2024'!K30+'March 2024'!J30</f>
        <v>4.13</v>
      </c>
      <c r="L30" s="9">
        <v>0</v>
      </c>
      <c r="M30" s="9">
        <f>'Feb 2024'!M30+'March 2024'!L30</f>
        <v>0</v>
      </c>
      <c r="N30" s="9">
        <f>I30+J30-L30</f>
        <v>134.93</v>
      </c>
      <c r="O30" s="10">
        <f>'Feb 2024'!T30</f>
        <v>311.12</v>
      </c>
      <c r="P30" s="9">
        <v>0</v>
      </c>
      <c r="Q30" s="9">
        <f>'Feb 2024'!Q30+'March 2024'!P30</f>
        <v>116.33999999999999</v>
      </c>
      <c r="R30" s="9">
        <v>0</v>
      </c>
      <c r="S30" s="9">
        <f>'Feb 2024'!S30+'March 2024'!R30</f>
        <v>0</v>
      </c>
      <c r="T30" s="10">
        <f>O30+P30-R30</f>
        <v>311.12</v>
      </c>
      <c r="U30" s="10">
        <f>H30+N30+T30</f>
        <v>7052.7620000000024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'Feb 2024'!H31</f>
        <v>3164.2029999999995</v>
      </c>
      <c r="D31" s="9">
        <v>6.89</v>
      </c>
      <c r="E31" s="9">
        <f>'Feb 2024'!E31+'March 2024'!D31</f>
        <v>42.738000000000007</v>
      </c>
      <c r="F31" s="9">
        <v>0</v>
      </c>
      <c r="G31" s="9">
        <f>'Feb 2024'!G31+'March 2024'!F31</f>
        <v>0</v>
      </c>
      <c r="H31" s="9">
        <f>C31+D31-F31</f>
        <v>3171.0929999999994</v>
      </c>
      <c r="I31" s="9">
        <f>'Feb 2024'!N31</f>
        <v>50.180000000000007</v>
      </c>
      <c r="J31" s="9">
        <v>0</v>
      </c>
      <c r="K31" s="9">
        <f>'Feb 2024'!K31+'March 2024'!J31</f>
        <v>0</v>
      </c>
      <c r="L31" s="9">
        <v>0</v>
      </c>
      <c r="M31" s="9">
        <f>'Feb 2024'!M31+'March 2024'!L31</f>
        <v>0</v>
      </c>
      <c r="N31" s="9">
        <f>I31+J31-L31</f>
        <v>50.180000000000007</v>
      </c>
      <c r="O31" s="10">
        <f>'Feb 2024'!T31</f>
        <v>244.44</v>
      </c>
      <c r="P31" s="9">
        <v>0</v>
      </c>
      <c r="Q31" s="9">
        <f>'Feb 2024'!Q31+'March 2024'!P31</f>
        <v>0</v>
      </c>
      <c r="R31" s="9">
        <v>0</v>
      </c>
      <c r="S31" s="9">
        <f>'Feb 2024'!S31+'March 2024'!R31</f>
        <v>0</v>
      </c>
      <c r="T31" s="10">
        <f>O31+P31-R31</f>
        <v>244.44</v>
      </c>
      <c r="U31" s="10">
        <f>H31+N31+T31</f>
        <v>3465.7129999999993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'Feb 2024'!H32</f>
        <v>4451.9799999999996</v>
      </c>
      <c r="D32" s="9">
        <v>9.19</v>
      </c>
      <c r="E32" s="9">
        <f>'Feb 2024'!E32+'March 2024'!D32</f>
        <v>59.889999999999986</v>
      </c>
      <c r="F32" s="9">
        <v>0</v>
      </c>
      <c r="G32" s="9">
        <f>'Feb 2024'!G32+'March 2024'!F32</f>
        <v>0</v>
      </c>
      <c r="H32" s="9">
        <f>C32+D32-F32</f>
        <v>4461.1699999999992</v>
      </c>
      <c r="I32" s="9">
        <f>'Feb 2024'!N32</f>
        <v>256.61599999999993</v>
      </c>
      <c r="J32" s="9">
        <v>1.2</v>
      </c>
      <c r="K32" s="9">
        <f>'Feb 2024'!K32+'March 2024'!J32</f>
        <v>31.436000000000003</v>
      </c>
      <c r="L32" s="9">
        <v>0</v>
      </c>
      <c r="M32" s="9">
        <f>'Feb 2024'!M32+'March 2024'!L32</f>
        <v>0</v>
      </c>
      <c r="N32" s="9">
        <f>I32+J32-L32</f>
        <v>257.81599999999992</v>
      </c>
      <c r="O32" s="10">
        <f>'Feb 2024'!T32</f>
        <v>243.81999999999996</v>
      </c>
      <c r="P32" s="9">
        <v>0</v>
      </c>
      <c r="Q32" s="9">
        <f>'Feb 2024'!Q32+'March 2024'!P32</f>
        <v>0.16999999999999998</v>
      </c>
      <c r="R32" s="9">
        <v>0.05</v>
      </c>
      <c r="S32" s="9">
        <f>'Feb 2024'!S32+'March 2024'!R32</f>
        <v>0.05</v>
      </c>
      <c r="T32" s="10">
        <f>O32+P32-R32</f>
        <v>243.76999999999995</v>
      </c>
      <c r="U32" s="10">
        <f>H32+N32+T32</f>
        <v>4962.7559999999985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SUM(C29:C32)</f>
        <v>18901.029000000002</v>
      </c>
      <c r="D33" s="15">
        <f t="shared" ref="D33:U33" si="6">SUM(D29:D32)</f>
        <v>30.11</v>
      </c>
      <c r="E33" s="15">
        <f t="shared" si="6"/>
        <v>399.47299999999996</v>
      </c>
      <c r="F33" s="15">
        <f t="shared" si="6"/>
        <v>0</v>
      </c>
      <c r="G33" s="15">
        <f t="shared" si="6"/>
        <v>0</v>
      </c>
      <c r="H33" s="15">
        <f t="shared" si="6"/>
        <v>18931.139000000003</v>
      </c>
      <c r="I33" s="15">
        <f t="shared" si="6"/>
        <v>627.23599999999988</v>
      </c>
      <c r="J33" s="15">
        <f t="shared" si="6"/>
        <v>1.2</v>
      </c>
      <c r="K33" s="15">
        <f t="shared" si="6"/>
        <v>36.376000000000005</v>
      </c>
      <c r="L33" s="15">
        <f t="shared" si="6"/>
        <v>0</v>
      </c>
      <c r="M33" s="15">
        <f t="shared" si="6"/>
        <v>0</v>
      </c>
      <c r="N33" s="15">
        <f t="shared" si="6"/>
        <v>628.43599999999992</v>
      </c>
      <c r="O33" s="15">
        <f t="shared" si="6"/>
        <v>1590.1759999999997</v>
      </c>
      <c r="P33" s="15">
        <f t="shared" si="6"/>
        <v>0.11</v>
      </c>
      <c r="Q33" s="15">
        <f t="shared" si="6"/>
        <v>390.14599999999996</v>
      </c>
      <c r="R33" s="15">
        <f t="shared" si="6"/>
        <v>0.05</v>
      </c>
      <c r="S33" s="15">
        <f t="shared" si="6"/>
        <v>0.05</v>
      </c>
      <c r="T33" s="15">
        <f t="shared" si="6"/>
        <v>1590.2359999999999</v>
      </c>
      <c r="U33" s="15">
        <f t="shared" si="6"/>
        <v>21149.811000000002</v>
      </c>
      <c r="V33" s="70"/>
      <c r="W33" s="70"/>
    </row>
    <row r="34" spans="1:23" ht="42.75" customHeight="1">
      <c r="A34" s="7">
        <v>21</v>
      </c>
      <c r="B34" s="8" t="s">
        <v>42</v>
      </c>
      <c r="C34" s="9">
        <f>'Feb 2024'!H34</f>
        <v>6391.9200000000028</v>
      </c>
      <c r="D34" s="9">
        <v>2.5099999999999998</v>
      </c>
      <c r="E34" s="9">
        <f>'Feb 2024'!E34+'March 2024'!D34</f>
        <v>310.17</v>
      </c>
      <c r="F34" s="9">
        <v>23.2</v>
      </c>
      <c r="G34" s="9">
        <f>'Feb 2024'!G34+'March 2024'!F34</f>
        <v>66.94</v>
      </c>
      <c r="H34" s="9">
        <f>C34+D34-F34</f>
        <v>6371.2300000000032</v>
      </c>
      <c r="I34" s="9">
        <f>'Feb 2024'!N34</f>
        <v>2</v>
      </c>
      <c r="J34" s="9">
        <v>0</v>
      </c>
      <c r="K34" s="9">
        <f>'Feb 2024'!K34+'March 2024'!J34</f>
        <v>0</v>
      </c>
      <c r="L34" s="9">
        <v>0</v>
      </c>
      <c r="M34" s="9">
        <f>'Feb 2024'!M34+'March 2024'!L34</f>
        <v>0</v>
      </c>
      <c r="N34" s="9">
        <f>I34+J34-L34</f>
        <v>2</v>
      </c>
      <c r="O34" s="10">
        <f>'Feb 2024'!T34</f>
        <v>46.889999999999993</v>
      </c>
      <c r="P34" s="9">
        <v>32.909999999999997</v>
      </c>
      <c r="Q34" s="9">
        <f>'Feb 2024'!Q34+'March 2024'!P34</f>
        <v>58.489999999999995</v>
      </c>
      <c r="R34" s="9">
        <v>0</v>
      </c>
      <c r="S34" s="9">
        <f>'Feb 2024'!S34+'March 2024'!R34</f>
        <v>17.39</v>
      </c>
      <c r="T34" s="10">
        <f>O34+P34-R34</f>
        <v>79.799999999999983</v>
      </c>
      <c r="U34" s="10">
        <f>H34+N34+T34</f>
        <v>6453.0300000000034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'Feb 2024'!H35</f>
        <v>9394.0850000000009</v>
      </c>
      <c r="D35" s="9">
        <v>0</v>
      </c>
      <c r="E35" s="9">
        <f>'Feb 2024'!E35+'March 2024'!D35</f>
        <v>4568.7700000000004</v>
      </c>
      <c r="F35" s="9">
        <v>63.62</v>
      </c>
      <c r="G35" s="9">
        <f>'Feb 2024'!G35+'March 2024'!F35</f>
        <v>148.07</v>
      </c>
      <c r="H35" s="9">
        <f>C35+D35-F35</f>
        <v>9330.4650000000001</v>
      </c>
      <c r="I35" s="9">
        <f>'Feb 2024'!N35</f>
        <v>0.1</v>
      </c>
      <c r="J35" s="9">
        <v>0</v>
      </c>
      <c r="K35" s="9">
        <f>'Feb 2024'!K35+'March 2024'!J35</f>
        <v>0</v>
      </c>
      <c r="L35" s="9">
        <v>0</v>
      </c>
      <c r="M35" s="9">
        <f>'Feb 2024'!M35+'March 2024'!L35</f>
        <v>0</v>
      </c>
      <c r="N35" s="9">
        <f>I35+J35-L35</f>
        <v>0.1</v>
      </c>
      <c r="O35" s="10">
        <f>'Feb 2024'!T35</f>
        <v>245.57</v>
      </c>
      <c r="P35" s="9">
        <v>85.8</v>
      </c>
      <c r="Q35" s="9">
        <f>'Feb 2024'!Q35+'March 2024'!P35</f>
        <v>205.89999999999998</v>
      </c>
      <c r="R35" s="9">
        <v>0</v>
      </c>
      <c r="S35" s="9">
        <f>'Feb 2024'!S35+'March 2024'!R35</f>
        <v>0</v>
      </c>
      <c r="T35" s="10">
        <f>O35+P35-R35</f>
        <v>331.37</v>
      </c>
      <c r="U35" s="10">
        <f>H35+N35+T35</f>
        <v>9661.9350000000013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'Feb 2024'!H36</f>
        <v>22655.100000000006</v>
      </c>
      <c r="D36" s="9">
        <v>3.72</v>
      </c>
      <c r="E36" s="9">
        <f>'Feb 2024'!E36+'March 2024'!D36</f>
        <v>3217.66</v>
      </c>
      <c r="F36" s="9">
        <v>23.03</v>
      </c>
      <c r="G36" s="9">
        <f>'Feb 2024'!G36+'March 2024'!F36</f>
        <v>50.89</v>
      </c>
      <c r="H36" s="9">
        <f>C36+D36-F36</f>
        <v>22635.790000000008</v>
      </c>
      <c r="I36" s="9">
        <f>'Feb 2024'!N36</f>
        <v>8.5</v>
      </c>
      <c r="J36" s="9">
        <v>0</v>
      </c>
      <c r="K36" s="9">
        <f>'Feb 2024'!K36+'March 2024'!J36</f>
        <v>0.26</v>
      </c>
      <c r="L36" s="9">
        <v>0</v>
      </c>
      <c r="M36" s="9">
        <f>'Feb 2024'!M36+'March 2024'!L36</f>
        <v>0.26</v>
      </c>
      <c r="N36" s="9">
        <f>I36+J36-L36</f>
        <v>8.5</v>
      </c>
      <c r="O36" s="10">
        <f>'Feb 2024'!T36</f>
        <v>72.39</v>
      </c>
      <c r="P36" s="9">
        <v>0</v>
      </c>
      <c r="Q36" s="9">
        <f>'Feb 2024'!Q36+'March 2024'!P36</f>
        <v>0</v>
      </c>
      <c r="R36" s="9">
        <v>0</v>
      </c>
      <c r="S36" s="9">
        <f>'Feb 2024'!S36+'March 2024'!R36</f>
        <v>0</v>
      </c>
      <c r="T36" s="10">
        <f>O36+P36-R36</f>
        <v>72.39</v>
      </c>
      <c r="U36" s="10">
        <f>H36+N36+T36</f>
        <v>22716.680000000008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'Feb 2024'!H37</f>
        <v>7077.0699999999988</v>
      </c>
      <c r="D37" s="9">
        <v>7.7</v>
      </c>
      <c r="E37" s="9">
        <f>'Feb 2024'!E37+'March 2024'!D37</f>
        <v>59.830000000000005</v>
      </c>
      <c r="F37" s="9">
        <v>0</v>
      </c>
      <c r="G37" s="9">
        <f>'Feb 2024'!G37+'March 2024'!F37</f>
        <v>0.02</v>
      </c>
      <c r="H37" s="9">
        <f>C37+D37-F37</f>
        <v>7084.7699999999986</v>
      </c>
      <c r="I37" s="9">
        <f>'Feb 2024'!N37</f>
        <v>0</v>
      </c>
      <c r="J37" s="9">
        <v>0</v>
      </c>
      <c r="K37" s="9">
        <f>'Feb 2024'!K37+'March 2024'!J37</f>
        <v>0</v>
      </c>
      <c r="L37" s="9">
        <v>0</v>
      </c>
      <c r="M37" s="9">
        <f>'Feb 2024'!M37+'March 2024'!L37</f>
        <v>0</v>
      </c>
      <c r="N37" s="9">
        <f>I37+J37-L37</f>
        <v>0</v>
      </c>
      <c r="O37" s="10">
        <f>'Feb 2024'!T37</f>
        <v>3.1</v>
      </c>
      <c r="P37" s="9">
        <v>0</v>
      </c>
      <c r="Q37" s="9">
        <f>'Feb 2024'!Q37+'March 2024'!P37</f>
        <v>0</v>
      </c>
      <c r="R37" s="9">
        <v>0</v>
      </c>
      <c r="S37" s="9">
        <f>'Feb 2024'!S37+'March 2024'!R37</f>
        <v>0</v>
      </c>
      <c r="T37" s="10">
        <f>O37+P37-R37</f>
        <v>3.1</v>
      </c>
      <c r="U37" s="10">
        <f>H37+N37+T37</f>
        <v>7087.869999999999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SUM(C34:C37)</f>
        <v>45518.17500000001</v>
      </c>
      <c r="D38" s="15">
        <f t="shared" ref="D38:U38" si="7">SUM(D34:D37)</f>
        <v>13.93</v>
      </c>
      <c r="E38" s="15">
        <f t="shared" si="7"/>
        <v>8156.43</v>
      </c>
      <c r="F38" s="15">
        <f t="shared" si="7"/>
        <v>109.85</v>
      </c>
      <c r="G38" s="15">
        <f t="shared" si="7"/>
        <v>265.91999999999996</v>
      </c>
      <c r="H38" s="15">
        <f t="shared" si="7"/>
        <v>45422.255000000012</v>
      </c>
      <c r="I38" s="15">
        <f t="shared" si="7"/>
        <v>10.6</v>
      </c>
      <c r="J38" s="15">
        <f t="shared" si="7"/>
        <v>0</v>
      </c>
      <c r="K38" s="15">
        <f t="shared" si="7"/>
        <v>0.26</v>
      </c>
      <c r="L38" s="15">
        <f t="shared" si="7"/>
        <v>0</v>
      </c>
      <c r="M38" s="15">
        <f t="shared" si="7"/>
        <v>0.26</v>
      </c>
      <c r="N38" s="15">
        <f t="shared" si="7"/>
        <v>10.6</v>
      </c>
      <c r="O38" s="15">
        <f t="shared" si="7"/>
        <v>367.95</v>
      </c>
      <c r="P38" s="15">
        <f t="shared" si="7"/>
        <v>118.71</v>
      </c>
      <c r="Q38" s="15">
        <f t="shared" si="7"/>
        <v>264.39</v>
      </c>
      <c r="R38" s="15">
        <f t="shared" si="7"/>
        <v>0</v>
      </c>
      <c r="S38" s="15">
        <f t="shared" si="7"/>
        <v>17.39</v>
      </c>
      <c r="T38" s="15">
        <f t="shared" si="7"/>
        <v>486.65999999999997</v>
      </c>
      <c r="U38" s="15">
        <f t="shared" si="7"/>
        <v>45919.515000000014</v>
      </c>
      <c r="V38" s="70"/>
      <c r="W38" s="70"/>
    </row>
    <row r="39" spans="1:23" s="16" customFormat="1" ht="42.75" customHeight="1">
      <c r="A39" s="13"/>
      <c r="B39" s="14" t="s">
        <v>47</v>
      </c>
      <c r="C39" s="15">
        <f>C38+C33+C28</f>
        <v>76261.863000000012</v>
      </c>
      <c r="D39" s="15">
        <f t="shared" ref="D39:U39" si="8">D38+D33+D28</f>
        <v>64.650000000000006</v>
      </c>
      <c r="E39" s="15">
        <f t="shared" si="8"/>
        <v>8767.0329999999994</v>
      </c>
      <c r="F39" s="15">
        <f t="shared" si="8"/>
        <v>109.85</v>
      </c>
      <c r="G39" s="15">
        <f t="shared" si="8"/>
        <v>265.93999999999994</v>
      </c>
      <c r="H39" s="15">
        <f t="shared" si="8"/>
        <v>76216.663000000015</v>
      </c>
      <c r="I39" s="15">
        <f t="shared" si="8"/>
        <v>1093.9109999999998</v>
      </c>
      <c r="J39" s="15">
        <f t="shared" si="8"/>
        <v>1.75</v>
      </c>
      <c r="K39" s="15">
        <f t="shared" si="8"/>
        <v>84.715999999999994</v>
      </c>
      <c r="L39" s="15">
        <f t="shared" si="8"/>
        <v>0</v>
      </c>
      <c r="M39" s="15">
        <f t="shared" si="8"/>
        <v>0.26</v>
      </c>
      <c r="N39" s="15">
        <f t="shared" si="8"/>
        <v>1095.6609999999998</v>
      </c>
      <c r="O39" s="15">
        <f t="shared" si="8"/>
        <v>2219.1659999999997</v>
      </c>
      <c r="P39" s="15">
        <f t="shared" si="8"/>
        <v>120.53999999999999</v>
      </c>
      <c r="Q39" s="15">
        <f t="shared" si="8"/>
        <v>670.04599999999994</v>
      </c>
      <c r="R39" s="15">
        <f t="shared" si="8"/>
        <v>0.05</v>
      </c>
      <c r="S39" s="15">
        <f t="shared" si="8"/>
        <v>17.440000000000001</v>
      </c>
      <c r="T39" s="15">
        <f t="shared" si="8"/>
        <v>2339.6559999999999</v>
      </c>
      <c r="U39" s="15">
        <f t="shared" si="8"/>
        <v>79651.98000000001</v>
      </c>
      <c r="V39" s="70"/>
      <c r="W39" s="70"/>
    </row>
    <row r="40" spans="1:23" ht="42.75" customHeight="1">
      <c r="A40" s="7">
        <v>25</v>
      </c>
      <c r="B40" s="8" t="s">
        <v>48</v>
      </c>
      <c r="C40" s="9">
        <f>'Feb 2024'!H40</f>
        <v>14019.838</v>
      </c>
      <c r="D40" s="9">
        <v>10.02</v>
      </c>
      <c r="E40" s="9">
        <f>'Feb 2024'!E40+'March 2024'!D40</f>
        <v>120.61</v>
      </c>
      <c r="F40" s="9">
        <v>0</v>
      </c>
      <c r="G40" s="9">
        <f>'Feb 2024'!G40+'March 2024'!F40</f>
        <v>0</v>
      </c>
      <c r="H40" s="9">
        <f>C40+D40-F40</f>
        <v>14029.858</v>
      </c>
      <c r="I40" s="9">
        <f>'Feb 2024'!N40</f>
        <v>226.8</v>
      </c>
      <c r="J40" s="9">
        <v>0</v>
      </c>
      <c r="K40" s="9">
        <f>'Feb 2024'!K40+'March 2024'!J40</f>
        <v>0</v>
      </c>
      <c r="L40" s="9">
        <v>0</v>
      </c>
      <c r="M40" s="9">
        <f>'Feb 2024'!M40+'March 2024'!L40</f>
        <v>0</v>
      </c>
      <c r="N40" s="9">
        <f>I40+J40-L40</f>
        <v>226.8</v>
      </c>
      <c r="O40" s="10">
        <f>'Feb 2024'!T40</f>
        <v>75.02000000000001</v>
      </c>
      <c r="P40" s="9">
        <v>0</v>
      </c>
      <c r="Q40" s="9">
        <f>'Feb 2024'!Q40+'March 2024'!P40</f>
        <v>0</v>
      </c>
      <c r="R40" s="9">
        <v>0</v>
      </c>
      <c r="S40" s="9">
        <f>'Feb 2024'!S40+'March 2024'!R40</f>
        <v>0</v>
      </c>
      <c r="T40" s="10">
        <f>O40+P40-R40</f>
        <v>75.02000000000001</v>
      </c>
      <c r="U40" s="10">
        <f>H40+N40+T40</f>
        <v>14331.678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'Feb 2024'!H41</f>
        <v>10724.035999999996</v>
      </c>
      <c r="D41" s="9">
        <v>4.41</v>
      </c>
      <c r="E41" s="9">
        <f>'Feb 2024'!E41+'March 2024'!D41</f>
        <v>36.230000000000004</v>
      </c>
      <c r="F41" s="9">
        <v>0</v>
      </c>
      <c r="G41" s="9">
        <f>'Feb 2024'!G41+'March 2024'!F41</f>
        <v>0.02</v>
      </c>
      <c r="H41" s="9">
        <f>C41+D41-F41</f>
        <v>10728.445999999996</v>
      </c>
      <c r="I41" s="9">
        <f>'Feb 2024'!N41</f>
        <v>0</v>
      </c>
      <c r="J41" s="9">
        <v>0</v>
      </c>
      <c r="K41" s="9">
        <f>'Feb 2024'!K41+'March 2024'!J41</f>
        <v>0</v>
      </c>
      <c r="L41" s="9">
        <v>0</v>
      </c>
      <c r="M41" s="9">
        <f>'Feb 2024'!M41+'March 2024'!L41</f>
        <v>0</v>
      </c>
      <c r="N41" s="9">
        <f>I41+J41-L41</f>
        <v>0</v>
      </c>
      <c r="O41" s="10">
        <f>'Feb 2024'!T41</f>
        <v>89.580000000000013</v>
      </c>
      <c r="P41" s="9">
        <v>0</v>
      </c>
      <c r="Q41" s="9">
        <f>'Feb 2024'!Q41+'March 2024'!P41</f>
        <v>0</v>
      </c>
      <c r="R41" s="9">
        <v>0</v>
      </c>
      <c r="S41" s="9">
        <f>'Feb 2024'!S41+'March 2024'!R41</f>
        <v>0</v>
      </c>
      <c r="T41" s="10">
        <f>O41+P41-R41</f>
        <v>89.580000000000013</v>
      </c>
      <c r="U41" s="10">
        <f>H41+N41+T41</f>
        <v>10818.025999999996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'Feb 2024'!H42</f>
        <v>25193.384000000005</v>
      </c>
      <c r="D42" s="9">
        <v>2.52</v>
      </c>
      <c r="E42" s="9">
        <f>'Feb 2024'!E42+'March 2024'!D42</f>
        <v>1115.6699999999998</v>
      </c>
      <c r="F42" s="9">
        <v>0</v>
      </c>
      <c r="G42" s="9">
        <f>'Feb 2024'!G42+'March 2024'!F42</f>
        <v>0</v>
      </c>
      <c r="H42" s="9">
        <f>C42+D42-F42</f>
        <v>25195.904000000006</v>
      </c>
      <c r="I42" s="9">
        <f>'Feb 2024'!N42</f>
        <v>0</v>
      </c>
      <c r="J42" s="9">
        <v>0</v>
      </c>
      <c r="K42" s="9">
        <f>'Feb 2024'!K42+'March 2024'!J42</f>
        <v>0</v>
      </c>
      <c r="L42" s="9">
        <v>0</v>
      </c>
      <c r="M42" s="9">
        <f>'Feb 2024'!M42+'March 2024'!L42</f>
        <v>0</v>
      </c>
      <c r="N42" s="9">
        <f>I42+J42-L42</f>
        <v>0</v>
      </c>
      <c r="O42" s="10">
        <f>'Feb 2024'!T42</f>
        <v>38.47</v>
      </c>
      <c r="P42" s="9">
        <v>0</v>
      </c>
      <c r="Q42" s="9">
        <f>'Feb 2024'!Q42+'March 2024'!P42</f>
        <v>0</v>
      </c>
      <c r="R42" s="9">
        <v>0</v>
      </c>
      <c r="S42" s="9">
        <f>'Feb 2024'!S42+'March 2024'!R42</f>
        <v>0</v>
      </c>
      <c r="T42" s="10">
        <f>O42+P42-R42</f>
        <v>38.47</v>
      </c>
      <c r="U42" s="10">
        <f>H42+N42+T42</f>
        <v>25234.374000000007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'Feb 2024'!H43</f>
        <v>3177.9730000000004</v>
      </c>
      <c r="D43" s="9">
        <v>1.85</v>
      </c>
      <c r="E43" s="9">
        <f>'Feb 2024'!E43+'March 2024'!D43</f>
        <v>699.82</v>
      </c>
      <c r="F43" s="9">
        <v>0</v>
      </c>
      <c r="G43" s="9">
        <f>'Feb 2024'!G43+'March 2024'!F43</f>
        <v>0</v>
      </c>
      <c r="H43" s="9">
        <f>C43+D43-F43</f>
        <v>3179.8230000000003</v>
      </c>
      <c r="I43" s="9">
        <f>'Feb 2024'!N43</f>
        <v>0</v>
      </c>
      <c r="J43" s="9">
        <v>0</v>
      </c>
      <c r="K43" s="9">
        <f>'Feb 2024'!K43+'March 2024'!J43</f>
        <v>0</v>
      </c>
      <c r="L43" s="9">
        <v>0</v>
      </c>
      <c r="M43" s="9">
        <f>'Feb 2024'!M43+'March 2024'!L43</f>
        <v>0</v>
      </c>
      <c r="N43" s="9">
        <f>I43+J43-L43</f>
        <v>0</v>
      </c>
      <c r="O43" s="10">
        <f>'Feb 2024'!T43</f>
        <v>146.49</v>
      </c>
      <c r="P43" s="9">
        <v>0</v>
      </c>
      <c r="Q43" s="9">
        <f>'Feb 2024'!Q43+'March 2024'!P43</f>
        <v>0</v>
      </c>
      <c r="R43" s="9">
        <v>0</v>
      </c>
      <c r="S43" s="9">
        <f>'Feb 2024'!S43+'March 2024'!R43</f>
        <v>0</v>
      </c>
      <c r="T43" s="10">
        <f>O43+P43-R43</f>
        <v>146.49</v>
      </c>
      <c r="U43" s="10">
        <f>H43+N43+T43</f>
        <v>3326.3130000000001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SUM(C40:C43)</f>
        <v>53115.231</v>
      </c>
      <c r="D44" s="15">
        <f t="shared" ref="D44:U44" si="9">SUM(D40:D43)</f>
        <v>18.8</v>
      </c>
      <c r="E44" s="15">
        <f t="shared" si="9"/>
        <v>1972.33</v>
      </c>
      <c r="F44" s="15">
        <f t="shared" si="9"/>
        <v>0</v>
      </c>
      <c r="G44" s="15">
        <f t="shared" si="9"/>
        <v>0.02</v>
      </c>
      <c r="H44" s="15">
        <f t="shared" si="9"/>
        <v>53134.031000000003</v>
      </c>
      <c r="I44" s="15">
        <f t="shared" si="9"/>
        <v>226.8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9"/>
        <v>226.8</v>
      </c>
      <c r="O44" s="15">
        <f t="shared" si="9"/>
        <v>349.56000000000006</v>
      </c>
      <c r="P44" s="15">
        <f t="shared" si="9"/>
        <v>0</v>
      </c>
      <c r="Q44" s="15">
        <f t="shared" si="9"/>
        <v>0</v>
      </c>
      <c r="R44" s="15">
        <f t="shared" si="9"/>
        <v>0</v>
      </c>
      <c r="S44" s="15">
        <f t="shared" si="9"/>
        <v>0</v>
      </c>
      <c r="T44" s="15">
        <f t="shared" si="9"/>
        <v>349.56000000000006</v>
      </c>
      <c r="U44" s="15">
        <f t="shared" si="9"/>
        <v>53710.391000000011</v>
      </c>
      <c r="V44" s="70"/>
      <c r="W44" s="70"/>
    </row>
    <row r="45" spans="1:23" ht="42.75" customHeight="1">
      <c r="A45" s="7">
        <v>29</v>
      </c>
      <c r="B45" s="8" t="s">
        <v>53</v>
      </c>
      <c r="C45" s="9">
        <f>'Feb 2024'!H45</f>
        <v>14181.424999999999</v>
      </c>
      <c r="D45" s="9">
        <v>8.2799999999999994</v>
      </c>
      <c r="E45" s="9">
        <f>'Feb 2024'!E45+'March 2024'!D45</f>
        <v>64.039999999999992</v>
      </c>
      <c r="F45" s="9">
        <v>0</v>
      </c>
      <c r="G45" s="9">
        <f>'Feb 2024'!G45+'March 2024'!F45</f>
        <v>0</v>
      </c>
      <c r="H45" s="9">
        <f>C45+D45-F45</f>
        <v>14189.705</v>
      </c>
      <c r="I45" s="9">
        <f>'Feb 2024'!N45</f>
        <v>8.16</v>
      </c>
      <c r="J45" s="9">
        <v>0</v>
      </c>
      <c r="K45" s="9">
        <f>'Feb 2024'!K45+'March 2024'!J45</f>
        <v>1.49</v>
      </c>
      <c r="L45" s="9">
        <v>0</v>
      </c>
      <c r="M45" s="9">
        <f>'Feb 2024'!M45+'March 2024'!L45</f>
        <v>0</v>
      </c>
      <c r="N45" s="9">
        <f>I45+J45-L45</f>
        <v>8.16</v>
      </c>
      <c r="O45" s="10">
        <f>'Feb 2024'!T45</f>
        <v>105.87000000000002</v>
      </c>
      <c r="P45" s="9">
        <v>8</v>
      </c>
      <c r="Q45" s="9">
        <f>'Feb 2024'!Q45+'March 2024'!P45</f>
        <v>8</v>
      </c>
      <c r="R45" s="9">
        <v>0</v>
      </c>
      <c r="S45" s="9">
        <f>'Feb 2024'!S45+'March 2024'!R45</f>
        <v>0</v>
      </c>
      <c r="T45" s="10">
        <f>O45+P45-R45</f>
        <v>113.87000000000002</v>
      </c>
      <c r="U45" s="10">
        <f>H45+N45+T45</f>
        <v>14311.735000000001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'Feb 2024'!H46</f>
        <v>7585.5549999999994</v>
      </c>
      <c r="D46" s="9">
        <v>23.81</v>
      </c>
      <c r="E46" s="9">
        <f>'Feb 2024'!E46+'March 2024'!D46</f>
        <v>196.30999999999997</v>
      </c>
      <c r="F46" s="9">
        <v>0</v>
      </c>
      <c r="G46" s="9">
        <f>'Feb 2024'!G46+'March 2024'!F46</f>
        <v>0</v>
      </c>
      <c r="H46" s="9">
        <f>C46+D46-F46</f>
        <v>7609.3649999999998</v>
      </c>
      <c r="I46" s="9">
        <f>'Feb 2024'!N46</f>
        <v>0</v>
      </c>
      <c r="J46" s="9">
        <v>0</v>
      </c>
      <c r="K46" s="9">
        <f>'Feb 2024'!K46+'March 2024'!J46</f>
        <v>0</v>
      </c>
      <c r="L46" s="9">
        <v>0</v>
      </c>
      <c r="M46" s="9">
        <f>'Feb 2024'!M46+'March 2024'!L46</f>
        <v>0</v>
      </c>
      <c r="N46" s="9">
        <f>I46+J46-L46</f>
        <v>0</v>
      </c>
      <c r="O46" s="10">
        <f>'Feb 2024'!T46</f>
        <v>7.5900000000000007</v>
      </c>
      <c r="P46" s="9">
        <v>0</v>
      </c>
      <c r="Q46" s="9">
        <f>'Feb 2024'!Q46+'March 2024'!P46</f>
        <v>0</v>
      </c>
      <c r="R46" s="9">
        <v>0</v>
      </c>
      <c r="S46" s="9">
        <f>'Feb 2024'!S46+'March 2024'!R46</f>
        <v>0</v>
      </c>
      <c r="T46" s="10">
        <f>O46+P46-R46</f>
        <v>7.5900000000000007</v>
      </c>
      <c r="U46" s="10">
        <f>H46+N46+T46</f>
        <v>7616.9549999999999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'Feb 2024'!H47</f>
        <v>12313.130000000006</v>
      </c>
      <c r="D47" s="9">
        <v>3.7</v>
      </c>
      <c r="E47" s="9">
        <f>'Feb 2024'!E47+'March 2024'!D47</f>
        <v>12.790000000000003</v>
      </c>
      <c r="F47" s="9">
        <v>0</v>
      </c>
      <c r="G47" s="9">
        <f>'Feb 2024'!G47+'March 2024'!F47</f>
        <v>0</v>
      </c>
      <c r="H47" s="9">
        <f>C47+D47-F47</f>
        <v>12316.830000000007</v>
      </c>
      <c r="I47" s="9">
        <f>'Feb 2024'!N47</f>
        <v>1.2999999999999998</v>
      </c>
      <c r="J47" s="9">
        <v>0</v>
      </c>
      <c r="K47" s="9">
        <f>'Feb 2024'!K47+'March 2024'!J47</f>
        <v>0</v>
      </c>
      <c r="L47" s="9">
        <v>0</v>
      </c>
      <c r="M47" s="9">
        <f>'Feb 2024'!M47+'March 2024'!L47</f>
        <v>0</v>
      </c>
      <c r="N47" s="9">
        <f>I47+J47-L47</f>
        <v>1.2999999999999998</v>
      </c>
      <c r="O47" s="10">
        <f>'Feb 2024'!T47</f>
        <v>86.18</v>
      </c>
      <c r="P47" s="9">
        <v>0</v>
      </c>
      <c r="Q47" s="9">
        <f>'Feb 2024'!Q47+'March 2024'!P47</f>
        <v>0</v>
      </c>
      <c r="R47" s="9">
        <v>0</v>
      </c>
      <c r="S47" s="9">
        <f>'Feb 2024'!S47+'March 2024'!R47</f>
        <v>0</v>
      </c>
      <c r="T47" s="10">
        <f>O47+P47-R47</f>
        <v>86.18</v>
      </c>
      <c r="U47" s="10">
        <f>H47+N47+T47</f>
        <v>12404.310000000007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'Feb 2024'!H48</f>
        <v>11116.882000000007</v>
      </c>
      <c r="D48" s="9">
        <v>1.45</v>
      </c>
      <c r="E48" s="9">
        <f>'Feb 2024'!E48+'March 2024'!D48</f>
        <v>11.12</v>
      </c>
      <c r="F48" s="9">
        <v>0</v>
      </c>
      <c r="G48" s="9">
        <f>'Feb 2024'!G48+'March 2024'!F48</f>
        <v>0</v>
      </c>
      <c r="H48" s="9">
        <f>C48+D48-F48</f>
        <v>11118.332000000008</v>
      </c>
      <c r="I48" s="9">
        <f>'Feb 2024'!N48</f>
        <v>0</v>
      </c>
      <c r="J48" s="9">
        <v>0</v>
      </c>
      <c r="K48" s="9">
        <f>'Feb 2024'!K48+'March 2024'!J48</f>
        <v>0</v>
      </c>
      <c r="L48" s="9">
        <v>0</v>
      </c>
      <c r="M48" s="9">
        <f>'Feb 2024'!M48+'March 2024'!L48</f>
        <v>0</v>
      </c>
      <c r="N48" s="9">
        <f>I48+J48-L48</f>
        <v>0</v>
      </c>
      <c r="O48" s="10">
        <f>'Feb 2024'!T48</f>
        <v>30.53</v>
      </c>
      <c r="P48" s="9">
        <v>0</v>
      </c>
      <c r="Q48" s="9">
        <f>'Feb 2024'!Q48+'March 2024'!P48</f>
        <v>0</v>
      </c>
      <c r="R48" s="9">
        <v>0</v>
      </c>
      <c r="S48" s="9">
        <f>'Feb 2024'!S48+'March 2024'!R48</f>
        <v>0</v>
      </c>
      <c r="T48" s="10">
        <f>O48+P48-R48</f>
        <v>30.53</v>
      </c>
      <c r="U48" s="10">
        <f>H48+N48+T48</f>
        <v>11148.862000000008</v>
      </c>
      <c r="V48" s="75"/>
      <c r="W48" s="11"/>
    </row>
    <row r="49" spans="1:23" s="16" customFormat="1" ht="57.75" customHeight="1">
      <c r="A49" s="13"/>
      <c r="B49" s="14" t="s">
        <v>57</v>
      </c>
      <c r="C49" s="15">
        <f>SUM(C45:C48)</f>
        <v>45196.992000000013</v>
      </c>
      <c r="D49" s="15">
        <f t="shared" ref="D49:U49" si="10">SUM(D45:D48)</f>
        <v>37.24</v>
      </c>
      <c r="E49" s="15">
        <f t="shared" si="10"/>
        <v>284.26</v>
      </c>
      <c r="F49" s="15">
        <f t="shared" si="10"/>
        <v>0</v>
      </c>
      <c r="G49" s="15">
        <f t="shared" si="10"/>
        <v>0</v>
      </c>
      <c r="H49" s="15">
        <f t="shared" si="10"/>
        <v>45234.232000000018</v>
      </c>
      <c r="I49" s="15">
        <f t="shared" si="10"/>
        <v>9.4600000000000009</v>
      </c>
      <c r="J49" s="15">
        <f t="shared" si="10"/>
        <v>0</v>
      </c>
      <c r="K49" s="15">
        <f t="shared" si="10"/>
        <v>1.49</v>
      </c>
      <c r="L49" s="15">
        <f t="shared" si="10"/>
        <v>0</v>
      </c>
      <c r="M49" s="15">
        <f t="shared" si="10"/>
        <v>0</v>
      </c>
      <c r="N49" s="15">
        <f t="shared" si="10"/>
        <v>9.4600000000000009</v>
      </c>
      <c r="O49" s="15">
        <f t="shared" si="10"/>
        <v>230.17000000000004</v>
      </c>
      <c r="P49" s="15">
        <f t="shared" si="10"/>
        <v>8</v>
      </c>
      <c r="Q49" s="15">
        <f t="shared" si="10"/>
        <v>8</v>
      </c>
      <c r="R49" s="15">
        <f t="shared" si="10"/>
        <v>0</v>
      </c>
      <c r="S49" s="15">
        <f t="shared" si="10"/>
        <v>0</v>
      </c>
      <c r="T49" s="15">
        <f t="shared" si="10"/>
        <v>238.17000000000004</v>
      </c>
      <c r="U49" s="15">
        <f t="shared" si="10"/>
        <v>45481.862000000016</v>
      </c>
      <c r="V49" s="70"/>
      <c r="W49" s="70"/>
    </row>
    <row r="50" spans="1:23" s="16" customFormat="1" ht="42.75" customHeight="1">
      <c r="A50" s="13"/>
      <c r="B50" s="14" t="s">
        <v>58</v>
      </c>
      <c r="C50" s="15">
        <f>C49+C44</f>
        <v>98312.223000000013</v>
      </c>
      <c r="D50" s="15">
        <f t="shared" ref="D50:U50" si="11">D49+D44</f>
        <v>56.040000000000006</v>
      </c>
      <c r="E50" s="15">
        <f t="shared" si="11"/>
        <v>2256.59</v>
      </c>
      <c r="F50" s="15">
        <f t="shared" si="11"/>
        <v>0</v>
      </c>
      <c r="G50" s="15">
        <f t="shared" si="11"/>
        <v>0.02</v>
      </c>
      <c r="H50" s="15">
        <f t="shared" si="11"/>
        <v>98368.263000000021</v>
      </c>
      <c r="I50" s="15">
        <f t="shared" si="11"/>
        <v>236.26000000000002</v>
      </c>
      <c r="J50" s="15">
        <f t="shared" si="11"/>
        <v>0</v>
      </c>
      <c r="K50" s="15">
        <f t="shared" si="11"/>
        <v>1.49</v>
      </c>
      <c r="L50" s="15">
        <f t="shared" si="11"/>
        <v>0</v>
      </c>
      <c r="M50" s="15">
        <f t="shared" si="11"/>
        <v>0</v>
      </c>
      <c r="N50" s="15">
        <f t="shared" si="11"/>
        <v>236.26000000000002</v>
      </c>
      <c r="O50" s="15">
        <f t="shared" si="11"/>
        <v>579.73000000000013</v>
      </c>
      <c r="P50" s="15">
        <f t="shared" si="11"/>
        <v>8</v>
      </c>
      <c r="Q50" s="15">
        <f t="shared" si="11"/>
        <v>8</v>
      </c>
      <c r="R50" s="15">
        <f t="shared" si="11"/>
        <v>0</v>
      </c>
      <c r="S50" s="15">
        <f t="shared" si="11"/>
        <v>0</v>
      </c>
      <c r="T50" s="15">
        <f t="shared" si="11"/>
        <v>587.73000000000013</v>
      </c>
      <c r="U50" s="15">
        <f t="shared" si="11"/>
        <v>99192.253000000026</v>
      </c>
      <c r="V50" s="70"/>
      <c r="W50" s="70"/>
    </row>
    <row r="51" spans="1:23" s="16" customFormat="1" ht="42.75" customHeight="1">
      <c r="A51" s="13"/>
      <c r="B51" s="14" t="s">
        <v>59</v>
      </c>
      <c r="C51" s="15">
        <f>C50+C39+C25</f>
        <v>183404.78900000002</v>
      </c>
      <c r="D51" s="15">
        <f t="shared" ref="D51:U51" si="12">D50+D39+D25</f>
        <v>122.03000000000002</v>
      </c>
      <c r="E51" s="15">
        <f t="shared" si="12"/>
        <v>11061.393</v>
      </c>
      <c r="F51" s="15">
        <f t="shared" si="12"/>
        <v>159.03</v>
      </c>
      <c r="G51" s="15">
        <f t="shared" si="12"/>
        <v>435.88999999999993</v>
      </c>
      <c r="H51" s="15">
        <f t="shared" si="12"/>
        <v>183367.78900000002</v>
      </c>
      <c r="I51" s="15">
        <f t="shared" si="12"/>
        <v>3030.4970000000003</v>
      </c>
      <c r="J51" s="15">
        <f t="shared" si="12"/>
        <v>10.08</v>
      </c>
      <c r="K51" s="15">
        <f t="shared" si="12"/>
        <v>235.15799999999999</v>
      </c>
      <c r="L51" s="15">
        <f t="shared" si="12"/>
        <v>0</v>
      </c>
      <c r="M51" s="15">
        <f t="shared" si="12"/>
        <v>10.72</v>
      </c>
      <c r="N51" s="15">
        <f t="shared" si="12"/>
        <v>3040.5770000000002</v>
      </c>
      <c r="O51" s="15">
        <f t="shared" si="12"/>
        <v>10623.329999999998</v>
      </c>
      <c r="P51" s="15">
        <f t="shared" si="12"/>
        <v>159.04</v>
      </c>
      <c r="Q51" s="15">
        <f t="shared" si="12"/>
        <v>1504.2059999999999</v>
      </c>
      <c r="R51" s="15">
        <f t="shared" si="12"/>
        <v>0.48</v>
      </c>
      <c r="S51" s="15">
        <f t="shared" si="12"/>
        <v>40.29</v>
      </c>
      <c r="T51" s="15">
        <f t="shared" si="12"/>
        <v>10781.89</v>
      </c>
      <c r="U51" s="15">
        <f t="shared" si="12"/>
        <v>197190.25600000002</v>
      </c>
      <c r="V51" s="70"/>
      <c r="W51" s="70"/>
    </row>
    <row r="52" spans="1:23" s="21" customFormat="1" ht="42.75" hidden="1" customHeight="1">
      <c r="A52" s="18"/>
      <c r="B52" s="19"/>
      <c r="C52" s="9">
        <f>'Feb 2024'!H52</f>
        <v>0</v>
      </c>
      <c r="D52" s="20"/>
      <c r="E52" s="9">
        <f>'Sept 2023'!E52+'March 2024'!D52</f>
        <v>0</v>
      </c>
      <c r="F52" s="20"/>
      <c r="G52" s="9">
        <f>'Jan 2024'!G52+'March 2024'!F52</f>
        <v>0</v>
      </c>
      <c r="H52" s="9">
        <f>C52+D52-F52</f>
        <v>0</v>
      </c>
      <c r="I52" s="9">
        <f>'Sept 2023'!N52</f>
        <v>0</v>
      </c>
      <c r="J52" s="20"/>
      <c r="K52" s="9">
        <f>'Feb 2024'!K52+'March 2024'!J52</f>
        <v>0</v>
      </c>
      <c r="L52" s="20"/>
      <c r="M52" s="9"/>
      <c r="N52" s="20"/>
      <c r="O52" s="10">
        <f>'Nov 2023'!T52</f>
        <v>0</v>
      </c>
      <c r="P52" s="20"/>
      <c r="Q52" s="9">
        <f>'Sept 2023'!Q52+'March 2024'!P52</f>
        <v>0</v>
      </c>
      <c r="R52" s="20"/>
      <c r="S52" s="9">
        <f>'Jan 2024'!S52+'March 2024'!R52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'Feb 2024'!H53</f>
        <v>0</v>
      </c>
      <c r="D53" s="20"/>
      <c r="E53" s="9">
        <f>'Sept 2023'!E53+'March 2024'!D53</f>
        <v>0</v>
      </c>
      <c r="F53" s="20"/>
      <c r="G53" s="9">
        <f>'Jan 2024'!G53+'March 2024'!F53</f>
        <v>0</v>
      </c>
      <c r="H53" s="9">
        <f>C53+D53-F53</f>
        <v>0</v>
      </c>
      <c r="I53" s="9">
        <f>'Sept 2023'!N53</f>
        <v>0</v>
      </c>
      <c r="J53" s="20"/>
      <c r="K53" s="9">
        <f>'Feb 2024'!K53+'March 2024'!J53</f>
        <v>0</v>
      </c>
      <c r="L53" s="20"/>
      <c r="M53" s="9"/>
      <c r="N53" s="20"/>
      <c r="O53" s="10">
        <f>'Nov 2023'!T53</f>
        <v>0</v>
      </c>
      <c r="P53" s="22"/>
      <c r="Q53" s="9">
        <f>'Sept 2023'!Q53+'March 2024'!P53</f>
        <v>0</v>
      </c>
      <c r="R53" s="20"/>
      <c r="S53" s="9">
        <f>'Jan 2024'!S53+'March 2024'!R53</f>
        <v>0</v>
      </c>
      <c r="T53" s="23"/>
      <c r="U53" s="20"/>
      <c r="V53" s="20"/>
      <c r="W53" s="20"/>
    </row>
    <row r="54" spans="1:23" s="16" customFormat="1" ht="57" customHeight="1">
      <c r="A54" s="25"/>
      <c r="B54" s="26"/>
      <c r="C54" s="27"/>
      <c r="D54" s="74" t="s">
        <v>60</v>
      </c>
      <c r="E54" s="74"/>
      <c r="F54" s="74"/>
      <c r="G54" s="74"/>
      <c r="H54" s="70">
        <f>D51+J51+P51-F51-L51-R51</f>
        <v>131.63999999999999</v>
      </c>
      <c r="I54" s="70"/>
      <c r="J54" s="70"/>
      <c r="K54" s="70"/>
      <c r="L54" s="70"/>
      <c r="M54" s="70"/>
      <c r="N54" s="70"/>
      <c r="O54" s="28"/>
      <c r="P54" s="70"/>
      <c r="Q54" s="70"/>
      <c r="R54" s="70"/>
      <c r="S54" s="70"/>
      <c r="T54" s="70"/>
      <c r="U54" s="71"/>
      <c r="V54" s="71"/>
      <c r="W54" s="71"/>
    </row>
    <row r="55" spans="1:23" s="16" customFormat="1" ht="66" customHeight="1">
      <c r="A55" s="25"/>
      <c r="B55" s="26"/>
      <c r="C55" s="70"/>
      <c r="D55" s="74" t="s">
        <v>61</v>
      </c>
      <c r="E55" s="74"/>
      <c r="F55" s="74"/>
      <c r="G55" s="74"/>
      <c r="H55" s="70">
        <f>E51+K51+Q51-G51-M51-S51</f>
        <v>12313.857</v>
      </c>
      <c r="I55" s="70"/>
      <c r="J55" s="70"/>
      <c r="K55" s="70"/>
      <c r="L55" s="70"/>
      <c r="M55" s="70"/>
      <c r="N55" s="70"/>
      <c r="O55" s="28"/>
      <c r="P55" s="70"/>
      <c r="Q55" s="70"/>
      <c r="R55" s="70"/>
      <c r="S55" s="70"/>
      <c r="T55" s="70"/>
      <c r="U55" s="71"/>
      <c r="V55" s="71"/>
      <c r="W55" s="71"/>
    </row>
    <row r="56" spans="1:23" ht="54" customHeight="1">
      <c r="C56" s="27"/>
      <c r="D56" s="74" t="s">
        <v>62</v>
      </c>
      <c r="E56" s="74"/>
      <c r="F56" s="74"/>
      <c r="G56" s="74"/>
      <c r="H56" s="70">
        <f>H51+N51+T51</f>
        <v>197190.25599999999</v>
      </c>
      <c r="I56" s="30"/>
      <c r="J56" s="30"/>
      <c r="K56" s="30"/>
      <c r="L56" s="31"/>
      <c r="M56" s="31"/>
      <c r="N56" s="32" t="e">
        <f>#REF!+'March 2024'!H54</f>
        <v>#REF!</v>
      </c>
      <c r="O56" s="11"/>
      <c r="P56" s="30"/>
      <c r="Q56" s="30"/>
      <c r="T56" s="33"/>
      <c r="U56" s="11"/>
      <c r="V56" s="11"/>
      <c r="W56" s="11"/>
    </row>
    <row r="57" spans="1:23" ht="42.75" customHeight="1">
      <c r="C57" s="71"/>
      <c r="D57" s="71"/>
      <c r="E57" s="34"/>
      <c r="H57" s="30"/>
      <c r="J57" s="35" t="e">
        <f>#REF!+'March 2024'!H54</f>
        <v>#REF!</v>
      </c>
      <c r="K57" s="30"/>
      <c r="L57" s="35" t="e">
        <f>#REF!+'March 2024'!H54</f>
        <v>#REF!</v>
      </c>
      <c r="M57" s="30"/>
      <c r="O57" s="11"/>
    </row>
    <row r="58" spans="1:23" s="16" customFormat="1" ht="78.75" customHeight="1">
      <c r="B58" s="80" t="s">
        <v>77</v>
      </c>
      <c r="C58" s="80"/>
      <c r="D58" s="80"/>
      <c r="E58" s="80"/>
      <c r="F58" s="80"/>
      <c r="H58" s="34"/>
      <c r="I58" s="45" t="e">
        <f>#REF!+'[3]dec 2023'!H56</f>
        <v>#REF!</v>
      </c>
      <c r="J58" s="34"/>
      <c r="K58" s="30"/>
      <c r="L58" s="30"/>
      <c r="M58" s="35">
        <f>'[2]March 2022'!H58+'[3]dec 2023'!H56</f>
        <v>179518.49399999995</v>
      </c>
      <c r="Q58" s="80" t="s">
        <v>78</v>
      </c>
      <c r="R58" s="80"/>
      <c r="S58" s="80"/>
      <c r="T58" s="80"/>
      <c r="U58" s="80"/>
    </row>
    <row r="59" spans="1:23" s="16" customFormat="1" ht="45.75" customHeight="1">
      <c r="B59" s="80" t="s">
        <v>79</v>
      </c>
      <c r="C59" s="80"/>
      <c r="D59" s="80"/>
      <c r="E59" s="80"/>
      <c r="F59" s="80"/>
      <c r="G59" s="46"/>
      <c r="H59" s="47">
        <f>'[4]feb 2021'!H58+'[3]dec 2023'!H56</f>
        <v>177015.56</v>
      </c>
      <c r="I59" s="46"/>
      <c r="J59" s="27"/>
      <c r="K59" s="30"/>
      <c r="L59" s="30"/>
      <c r="M59" s="30"/>
      <c r="Q59" s="80" t="s">
        <v>79</v>
      </c>
      <c r="R59" s="80"/>
      <c r="S59" s="80"/>
      <c r="T59" s="80"/>
      <c r="U59" s="80"/>
    </row>
    <row r="60" spans="1:23" s="16" customFormat="1">
      <c r="B60" s="26"/>
      <c r="F60" s="48"/>
      <c r="I60" s="46"/>
      <c r="J60" s="48"/>
      <c r="Q60" s="71"/>
      <c r="R60" s="71"/>
      <c r="S60" s="1"/>
      <c r="T60" s="71"/>
      <c r="U60" s="71"/>
      <c r="V60" s="71"/>
      <c r="W60" s="71"/>
    </row>
    <row r="61" spans="1:23" s="16" customFormat="1" ht="61.5" customHeight="1">
      <c r="B61" s="26"/>
      <c r="G61" s="47">
        <f>'[4]May 2020'!H56+'[3]dec 2023'!H56</f>
        <v>174908.878</v>
      </c>
      <c r="J61" s="79" t="s">
        <v>80</v>
      </c>
      <c r="K61" s="79"/>
      <c r="L61" s="79"/>
      <c r="O61" s="71"/>
      <c r="S61" s="48"/>
      <c r="U61" s="71"/>
      <c r="V61" s="71"/>
      <c r="W61" s="71"/>
    </row>
    <row r="62" spans="1:23" s="16" customFormat="1" ht="58.5" customHeight="1">
      <c r="B62" s="26"/>
      <c r="H62" s="34"/>
      <c r="J62" s="79" t="s">
        <v>81</v>
      </c>
      <c r="K62" s="79"/>
      <c r="L62" s="79"/>
      <c r="O62" s="71"/>
      <c r="S62" s="48"/>
      <c r="U62" s="71"/>
      <c r="V62" s="71"/>
      <c r="W62" s="71"/>
    </row>
  </sheetData>
  <mergeCells count="31">
    <mergeCell ref="J61:L61"/>
    <mergeCell ref="J62:L62"/>
    <mergeCell ref="D54:G54"/>
    <mergeCell ref="D55:G55"/>
    <mergeCell ref="D56:G56"/>
    <mergeCell ref="B58:F58"/>
    <mergeCell ref="Q58:U58"/>
    <mergeCell ref="B59:F59"/>
    <mergeCell ref="Q59:U59"/>
    <mergeCell ref="P5:Q5"/>
    <mergeCell ref="R5:S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1"/>
  <sheetViews>
    <sheetView topLeftCell="A49" zoomScale="38" zoomScaleNormal="38" zoomScaleSheetLayoutView="25" workbookViewId="0">
      <selection activeCell="A55" sqref="A55:XFD55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63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'march 2023'!H7</f>
        <v>83.970000000000653</v>
      </c>
      <c r="D7" s="9">
        <v>0</v>
      </c>
      <c r="E7" s="9">
        <f>D7</f>
        <v>0</v>
      </c>
      <c r="F7" s="9">
        <v>0</v>
      </c>
      <c r="G7" s="9">
        <f>F7</f>
        <v>0</v>
      </c>
      <c r="H7" s="9">
        <f>C7+D7-F7</f>
        <v>83.970000000000653</v>
      </c>
      <c r="I7" s="9">
        <f>'march 2023'!N7</f>
        <v>174.87099999999995</v>
      </c>
      <c r="J7" s="9">
        <f>0.435+0.14</f>
        <v>0.57499999999999996</v>
      </c>
      <c r="K7" s="9">
        <f>J7</f>
        <v>0.57499999999999996</v>
      </c>
      <c r="L7" s="9">
        <v>0</v>
      </c>
      <c r="M7" s="9">
        <f>L7</f>
        <v>0</v>
      </c>
      <c r="N7" s="9">
        <f>I7+J7-L7</f>
        <v>175.44599999999994</v>
      </c>
      <c r="O7" s="10">
        <f>'march 2023'!T7</f>
        <v>284.1400000000001</v>
      </c>
      <c r="P7" s="9">
        <v>0</v>
      </c>
      <c r="Q7" s="9">
        <f>P7</f>
        <v>0</v>
      </c>
      <c r="R7" s="9">
        <v>0</v>
      </c>
      <c r="S7" s="9">
        <f>R7</f>
        <v>0</v>
      </c>
      <c r="T7" s="10">
        <f>O7+P7-R7</f>
        <v>284.1400000000001</v>
      </c>
      <c r="U7" s="10">
        <f>H7+N7+T7</f>
        <v>543.55600000000072</v>
      </c>
      <c r="V7" s="11"/>
      <c r="W7" s="11"/>
    </row>
    <row r="8" spans="1:183" ht="42.75" customHeight="1">
      <c r="A8" s="7">
        <v>2</v>
      </c>
      <c r="B8" s="8" t="s">
        <v>15</v>
      </c>
      <c r="C8" s="9">
        <f>'march 2023'!H8</f>
        <v>497.61499999999984</v>
      </c>
      <c r="D8" s="9">
        <v>0</v>
      </c>
      <c r="E8" s="9">
        <f t="shared" ref="E8:E53" si="0">D8</f>
        <v>0</v>
      </c>
      <c r="F8" s="9">
        <v>0</v>
      </c>
      <c r="G8" s="9">
        <f t="shared" ref="G8:G53" si="1">F8</f>
        <v>0</v>
      </c>
      <c r="H8" s="9">
        <f t="shared" ref="H8:H53" si="2">C8+D8-F8</f>
        <v>497.61499999999984</v>
      </c>
      <c r="I8" s="9">
        <f>'march 2023'!N8</f>
        <v>142.90600000000001</v>
      </c>
      <c r="J8" s="9">
        <v>1.03</v>
      </c>
      <c r="K8" s="9">
        <f t="shared" ref="K8:K53" si="3">J8</f>
        <v>1.03</v>
      </c>
      <c r="L8" s="9">
        <v>0</v>
      </c>
      <c r="M8" s="9">
        <f t="shared" ref="M8:M48" si="4">L8</f>
        <v>0</v>
      </c>
      <c r="N8" s="9">
        <f t="shared" ref="N8:N48" si="5">I8+J8-L8</f>
        <v>143.93600000000001</v>
      </c>
      <c r="O8" s="10">
        <f>'march 2023'!T8</f>
        <v>222.27000000000004</v>
      </c>
      <c r="P8" s="9">
        <v>0</v>
      </c>
      <c r="Q8" s="9">
        <f t="shared" ref="Q8:Q53" si="6">P8</f>
        <v>0</v>
      </c>
      <c r="R8" s="9">
        <v>0</v>
      </c>
      <c r="S8" s="9">
        <f t="shared" ref="S8:S53" si="7">R8</f>
        <v>0</v>
      </c>
      <c r="T8" s="10">
        <f t="shared" ref="T8:T48" si="8">O8+P8-R8</f>
        <v>222.27000000000004</v>
      </c>
      <c r="U8" s="10">
        <f t="shared" ref="U8:U48" si="9">H8+N8+T8</f>
        <v>863.82099999999991</v>
      </c>
      <c r="V8" s="11"/>
      <c r="W8" s="11"/>
    </row>
    <row r="9" spans="1:183" ht="42.75" customHeight="1">
      <c r="A9" s="7">
        <v>3</v>
      </c>
      <c r="B9" s="8" t="s">
        <v>16</v>
      </c>
      <c r="C9" s="9">
        <f>'march 2023'!H9</f>
        <v>653.9599999999997</v>
      </c>
      <c r="D9" s="9">
        <v>0</v>
      </c>
      <c r="E9" s="9">
        <f t="shared" si="0"/>
        <v>0</v>
      </c>
      <c r="F9" s="9">
        <v>0</v>
      </c>
      <c r="G9" s="9">
        <f t="shared" si="1"/>
        <v>0</v>
      </c>
      <c r="H9" s="9">
        <f t="shared" si="2"/>
        <v>653.9599999999997</v>
      </c>
      <c r="I9" s="9">
        <f>'march 2023'!N9</f>
        <v>215.506</v>
      </c>
      <c r="J9" s="9">
        <f>3.88-0.016</f>
        <v>3.8639999999999999</v>
      </c>
      <c r="K9" s="9">
        <f t="shared" si="3"/>
        <v>3.8639999999999999</v>
      </c>
      <c r="L9" s="9">
        <v>0</v>
      </c>
      <c r="M9" s="9">
        <f t="shared" si="4"/>
        <v>0</v>
      </c>
      <c r="N9" s="9">
        <f t="shared" si="5"/>
        <v>219.37</v>
      </c>
      <c r="O9" s="10">
        <f>'march 2023'!T9</f>
        <v>266.58999999999997</v>
      </c>
      <c r="P9" s="9">
        <v>37.799999999999997</v>
      </c>
      <c r="Q9" s="9">
        <f t="shared" si="6"/>
        <v>37.799999999999997</v>
      </c>
      <c r="R9" s="9">
        <v>0</v>
      </c>
      <c r="S9" s="9">
        <f t="shared" si="7"/>
        <v>0</v>
      </c>
      <c r="T9" s="10">
        <f t="shared" si="8"/>
        <v>304.39</v>
      </c>
      <c r="U9" s="10">
        <f t="shared" si="9"/>
        <v>1177.7199999999998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'march 2023'!H10</f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f t="shared" si="2"/>
        <v>0</v>
      </c>
      <c r="I10" s="9">
        <f>'march 2023'!N10</f>
        <v>147.22500000000008</v>
      </c>
      <c r="J10" s="9">
        <v>0.19500000000000001</v>
      </c>
      <c r="K10" s="9">
        <f t="shared" si="3"/>
        <v>0.19500000000000001</v>
      </c>
      <c r="L10" s="9">
        <v>0</v>
      </c>
      <c r="M10" s="9">
        <f t="shared" si="4"/>
        <v>0</v>
      </c>
      <c r="N10" s="9">
        <f t="shared" si="5"/>
        <v>147.42000000000007</v>
      </c>
      <c r="O10" s="10">
        <f>'march 2023'!T10</f>
        <v>234.27999999999997</v>
      </c>
      <c r="P10" s="9">
        <v>0</v>
      </c>
      <c r="Q10" s="9">
        <f t="shared" si="6"/>
        <v>0</v>
      </c>
      <c r="R10" s="9">
        <v>0</v>
      </c>
      <c r="S10" s="9">
        <f t="shared" si="7"/>
        <v>0</v>
      </c>
      <c r="T10" s="10">
        <f t="shared" si="8"/>
        <v>234.27999999999997</v>
      </c>
      <c r="U10" s="10">
        <f t="shared" si="9"/>
        <v>381.70000000000005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'march 2023'!H11</f>
        <v>1235.5450000000001</v>
      </c>
      <c r="D11" s="15">
        <f t="shared" ref="D11:U11" si="10">SUM(D7:D10)</f>
        <v>0</v>
      </c>
      <c r="E11" s="15">
        <f t="shared" si="10"/>
        <v>0</v>
      </c>
      <c r="F11" s="15">
        <f t="shared" si="10"/>
        <v>0</v>
      </c>
      <c r="G11" s="15">
        <f t="shared" si="10"/>
        <v>0</v>
      </c>
      <c r="H11" s="15">
        <f t="shared" si="10"/>
        <v>1235.5450000000001</v>
      </c>
      <c r="I11" s="15">
        <f>'march 2023'!N11</f>
        <v>680.50800000000004</v>
      </c>
      <c r="J11" s="15">
        <f t="shared" si="10"/>
        <v>5.6639999999999997</v>
      </c>
      <c r="K11" s="15">
        <f t="shared" si="10"/>
        <v>5.6639999999999997</v>
      </c>
      <c r="L11" s="15">
        <f t="shared" si="10"/>
        <v>0</v>
      </c>
      <c r="M11" s="15">
        <f t="shared" si="10"/>
        <v>0</v>
      </c>
      <c r="N11" s="15">
        <f t="shared" si="10"/>
        <v>686.17200000000003</v>
      </c>
      <c r="O11" s="41">
        <f>'march 2023'!T11</f>
        <v>1007.2800000000001</v>
      </c>
      <c r="P11" s="15">
        <f t="shared" si="10"/>
        <v>37.799999999999997</v>
      </c>
      <c r="Q11" s="15">
        <f t="shared" si="10"/>
        <v>37.799999999999997</v>
      </c>
      <c r="R11" s="15">
        <f t="shared" si="10"/>
        <v>0</v>
      </c>
      <c r="S11" s="15">
        <f t="shared" si="10"/>
        <v>0</v>
      </c>
      <c r="T11" s="15">
        <f t="shared" si="10"/>
        <v>1045.0800000000002</v>
      </c>
      <c r="U11" s="15">
        <f t="shared" si="10"/>
        <v>2966.7970000000005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'march 2023'!H12</f>
        <v>218.88999999999885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f t="shared" si="2"/>
        <v>218.88999999999885</v>
      </c>
      <c r="I12" s="9">
        <f>'march 2023'!N12</f>
        <v>89.88300000000001</v>
      </c>
      <c r="J12" s="9">
        <v>0.21</v>
      </c>
      <c r="K12" s="9">
        <f t="shared" si="3"/>
        <v>0.21</v>
      </c>
      <c r="L12" s="9">
        <v>0</v>
      </c>
      <c r="M12" s="9">
        <f t="shared" si="4"/>
        <v>0</v>
      </c>
      <c r="N12" s="9">
        <f t="shared" si="5"/>
        <v>90.093000000000004</v>
      </c>
      <c r="O12" s="10">
        <f>'march 2023'!T12</f>
        <v>1548.02</v>
      </c>
      <c r="P12" s="9">
        <v>0.28000000000000003</v>
      </c>
      <c r="Q12" s="9">
        <f t="shared" si="6"/>
        <v>0.28000000000000003</v>
      </c>
      <c r="R12" s="9">
        <v>0</v>
      </c>
      <c r="S12" s="9">
        <f t="shared" si="7"/>
        <v>0</v>
      </c>
      <c r="T12" s="10">
        <f t="shared" si="8"/>
        <v>1548.3</v>
      </c>
      <c r="U12" s="10">
        <f t="shared" si="9"/>
        <v>1857.2829999999988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'march 2023'!H13</f>
        <v>1023.7699999999998</v>
      </c>
      <c r="D13" s="9">
        <v>0</v>
      </c>
      <c r="E13" s="9">
        <f t="shared" si="0"/>
        <v>0</v>
      </c>
      <c r="F13" s="9">
        <v>0</v>
      </c>
      <c r="G13" s="9">
        <f t="shared" si="1"/>
        <v>0</v>
      </c>
      <c r="H13" s="9">
        <f t="shared" si="2"/>
        <v>1023.7699999999998</v>
      </c>
      <c r="I13" s="9">
        <f>'march 2023'!N13</f>
        <v>157.66400000000007</v>
      </c>
      <c r="J13" s="9">
        <v>0.96</v>
      </c>
      <c r="K13" s="9">
        <f t="shared" si="3"/>
        <v>0.96</v>
      </c>
      <c r="L13" s="9">
        <v>0</v>
      </c>
      <c r="M13" s="9">
        <f t="shared" si="4"/>
        <v>0</v>
      </c>
      <c r="N13" s="9">
        <f t="shared" si="5"/>
        <v>158.62400000000008</v>
      </c>
      <c r="O13" s="10">
        <f>'march 2023'!T13</f>
        <v>87.2</v>
      </c>
      <c r="P13" s="9">
        <v>0</v>
      </c>
      <c r="Q13" s="9">
        <f t="shared" si="6"/>
        <v>0</v>
      </c>
      <c r="R13" s="9">
        <v>0</v>
      </c>
      <c r="S13" s="9">
        <f t="shared" si="7"/>
        <v>0</v>
      </c>
      <c r="T13" s="10">
        <f t="shared" si="8"/>
        <v>87.2</v>
      </c>
      <c r="U13" s="10">
        <f t="shared" si="9"/>
        <v>1269.5939999999998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'march 2023'!H14</f>
        <v>2084.5799999999995</v>
      </c>
      <c r="D14" s="9">
        <v>0</v>
      </c>
      <c r="E14" s="9">
        <f t="shared" si="0"/>
        <v>0</v>
      </c>
      <c r="F14" s="9">
        <v>0.5</v>
      </c>
      <c r="G14" s="9">
        <f t="shared" si="1"/>
        <v>0.5</v>
      </c>
      <c r="H14" s="9">
        <f t="shared" si="2"/>
        <v>2084.0799999999995</v>
      </c>
      <c r="I14" s="9">
        <f>'march 2023'!N14</f>
        <v>209.13399999999999</v>
      </c>
      <c r="J14" s="9">
        <v>2.08</v>
      </c>
      <c r="K14" s="9">
        <f t="shared" si="3"/>
        <v>2.08</v>
      </c>
      <c r="L14" s="9">
        <v>0</v>
      </c>
      <c r="M14" s="9">
        <f t="shared" si="4"/>
        <v>0</v>
      </c>
      <c r="N14" s="9">
        <f t="shared" si="5"/>
        <v>211.214</v>
      </c>
      <c r="O14" s="10">
        <f>'march 2023'!T14</f>
        <v>403.58</v>
      </c>
      <c r="P14" s="9">
        <v>0.09</v>
      </c>
      <c r="Q14" s="9">
        <f t="shared" si="6"/>
        <v>0.09</v>
      </c>
      <c r="R14" s="9">
        <v>0</v>
      </c>
      <c r="S14" s="9">
        <f t="shared" si="7"/>
        <v>0</v>
      </c>
      <c r="T14" s="10">
        <f t="shared" si="8"/>
        <v>403.66999999999996</v>
      </c>
      <c r="U14" s="10">
        <f t="shared" si="9"/>
        <v>2698.9639999999995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'march 2023'!H15</f>
        <v>3327.239999999998</v>
      </c>
      <c r="D15" s="15">
        <f t="shared" ref="D15:U15" si="11">SUM(D12:D14)</f>
        <v>0</v>
      </c>
      <c r="E15" s="15">
        <f t="shared" si="11"/>
        <v>0</v>
      </c>
      <c r="F15" s="15">
        <f t="shared" si="11"/>
        <v>0.5</v>
      </c>
      <c r="G15" s="15">
        <f t="shared" si="11"/>
        <v>0.5</v>
      </c>
      <c r="H15" s="15">
        <f t="shared" si="11"/>
        <v>3326.739999999998</v>
      </c>
      <c r="I15" s="15">
        <f>'march 2023'!N15</f>
        <v>456.68100000000004</v>
      </c>
      <c r="J15" s="15">
        <f t="shared" si="11"/>
        <v>3.25</v>
      </c>
      <c r="K15" s="15">
        <f t="shared" si="11"/>
        <v>3.25</v>
      </c>
      <c r="L15" s="15">
        <f t="shared" si="11"/>
        <v>0</v>
      </c>
      <c r="M15" s="15">
        <f t="shared" si="11"/>
        <v>0</v>
      </c>
      <c r="N15" s="15">
        <f t="shared" si="11"/>
        <v>459.9310000000001</v>
      </c>
      <c r="O15" s="41">
        <f>'march 2023'!T15</f>
        <v>2038.8</v>
      </c>
      <c r="P15" s="15">
        <f t="shared" si="11"/>
        <v>0.37</v>
      </c>
      <c r="Q15" s="15">
        <f t="shared" si="11"/>
        <v>0.37</v>
      </c>
      <c r="R15" s="15">
        <f t="shared" si="11"/>
        <v>0</v>
      </c>
      <c r="S15" s="15">
        <f t="shared" si="11"/>
        <v>0</v>
      </c>
      <c r="T15" s="15">
        <f t="shared" si="11"/>
        <v>2039.17</v>
      </c>
      <c r="U15" s="15">
        <f t="shared" si="11"/>
        <v>5825.8409999999985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'march 2023'!H16</f>
        <v>1307.3319999999992</v>
      </c>
      <c r="D16" s="9">
        <v>1.44</v>
      </c>
      <c r="E16" s="9">
        <f t="shared" si="0"/>
        <v>1.44</v>
      </c>
      <c r="F16" s="9">
        <v>0</v>
      </c>
      <c r="G16" s="9">
        <f t="shared" si="1"/>
        <v>0</v>
      </c>
      <c r="H16" s="9">
        <f t="shared" si="2"/>
        <v>1308.7719999999993</v>
      </c>
      <c r="I16" s="9">
        <f>'march 2023'!N16</f>
        <v>113.97000000000004</v>
      </c>
      <c r="J16" s="9">
        <v>0.04</v>
      </c>
      <c r="K16" s="9">
        <f t="shared" si="3"/>
        <v>0.04</v>
      </c>
      <c r="L16" s="9">
        <v>0</v>
      </c>
      <c r="M16" s="9">
        <f t="shared" si="4"/>
        <v>0</v>
      </c>
      <c r="N16" s="9">
        <f t="shared" si="5"/>
        <v>114.01000000000005</v>
      </c>
      <c r="O16" s="10">
        <f>'march 2023'!T16</f>
        <v>875.24900000000014</v>
      </c>
      <c r="P16" s="9">
        <f>1.36+84.02</f>
        <v>85.38</v>
      </c>
      <c r="Q16" s="9">
        <f t="shared" si="6"/>
        <v>85.38</v>
      </c>
      <c r="R16" s="9">
        <v>0</v>
      </c>
      <c r="S16" s="9">
        <f t="shared" si="7"/>
        <v>0</v>
      </c>
      <c r="T16" s="10">
        <f t="shared" si="8"/>
        <v>960.62900000000013</v>
      </c>
      <c r="U16" s="10">
        <f t="shared" si="9"/>
        <v>2383.4109999999991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'march 2023'!H17</f>
        <v>239.35399999999987</v>
      </c>
      <c r="D17" s="9">
        <v>0</v>
      </c>
      <c r="E17" s="9">
        <f t="shared" si="0"/>
        <v>0</v>
      </c>
      <c r="F17" s="9">
        <v>0</v>
      </c>
      <c r="G17" s="9">
        <f t="shared" si="1"/>
        <v>0</v>
      </c>
      <c r="H17" s="9">
        <f t="shared" si="2"/>
        <v>239.35399999999987</v>
      </c>
      <c r="I17" s="9">
        <f>'march 2023'!N17</f>
        <v>29.696999999999992</v>
      </c>
      <c r="J17" s="9">
        <v>0.03</v>
      </c>
      <c r="K17" s="9">
        <f t="shared" si="3"/>
        <v>0.03</v>
      </c>
      <c r="L17" s="9">
        <v>0</v>
      </c>
      <c r="M17" s="9">
        <f t="shared" si="4"/>
        <v>0</v>
      </c>
      <c r="N17" s="9">
        <f t="shared" si="5"/>
        <v>29.726999999999993</v>
      </c>
      <c r="O17" s="10">
        <f>'march 2023'!T17</f>
        <v>414.54100000000005</v>
      </c>
      <c r="P17" s="9">
        <v>83.4</v>
      </c>
      <c r="Q17" s="9">
        <f t="shared" si="6"/>
        <v>83.4</v>
      </c>
      <c r="R17" s="9">
        <v>0</v>
      </c>
      <c r="S17" s="9">
        <f t="shared" si="7"/>
        <v>0</v>
      </c>
      <c r="T17" s="10">
        <f t="shared" si="8"/>
        <v>497.94100000000003</v>
      </c>
      <c r="U17" s="10">
        <f t="shared" si="9"/>
        <v>767.02199999999993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'march 2023'!H18</f>
        <v>478.13499999999931</v>
      </c>
      <c r="D18" s="9">
        <v>0</v>
      </c>
      <c r="E18" s="9">
        <f t="shared" si="0"/>
        <v>0</v>
      </c>
      <c r="F18" s="9">
        <v>0</v>
      </c>
      <c r="G18" s="9">
        <f t="shared" si="1"/>
        <v>0</v>
      </c>
      <c r="H18" s="9">
        <f t="shared" si="2"/>
        <v>478.13499999999931</v>
      </c>
      <c r="I18" s="9">
        <f>'march 2023'!N18</f>
        <v>15.13999999999999</v>
      </c>
      <c r="J18" s="9">
        <v>0.03</v>
      </c>
      <c r="K18" s="9">
        <f t="shared" si="3"/>
        <v>0.03</v>
      </c>
      <c r="L18" s="9">
        <v>0.04</v>
      </c>
      <c r="M18" s="9">
        <f t="shared" si="4"/>
        <v>0.04</v>
      </c>
      <c r="N18" s="9">
        <f t="shared" si="5"/>
        <v>15.12999999999999</v>
      </c>
      <c r="O18" s="10">
        <f>'march 2023'!T18</f>
        <v>480.83799999999997</v>
      </c>
      <c r="P18" s="9">
        <v>0.06</v>
      </c>
      <c r="Q18" s="9">
        <f t="shared" si="6"/>
        <v>0.06</v>
      </c>
      <c r="R18" s="9">
        <v>0</v>
      </c>
      <c r="S18" s="9">
        <f t="shared" si="7"/>
        <v>0</v>
      </c>
      <c r="T18" s="10">
        <f t="shared" si="8"/>
        <v>480.89799999999997</v>
      </c>
      <c r="U18" s="10">
        <f t="shared" si="9"/>
        <v>974.16299999999933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'march 2023'!H19</f>
        <v>2024.8209999999983</v>
      </c>
      <c r="D19" s="15">
        <f t="shared" ref="D19:U19" si="12">SUM(D16:D18)</f>
        <v>1.44</v>
      </c>
      <c r="E19" s="15">
        <f t="shared" si="12"/>
        <v>1.44</v>
      </c>
      <c r="F19" s="15">
        <f t="shared" si="12"/>
        <v>0</v>
      </c>
      <c r="G19" s="15">
        <f t="shared" si="12"/>
        <v>0</v>
      </c>
      <c r="H19" s="15">
        <f t="shared" si="12"/>
        <v>2026.2609999999984</v>
      </c>
      <c r="I19" s="15">
        <f>'march 2023'!N19</f>
        <v>158.80700000000002</v>
      </c>
      <c r="J19" s="15">
        <f t="shared" si="12"/>
        <v>0.1</v>
      </c>
      <c r="K19" s="15">
        <f t="shared" si="12"/>
        <v>0.1</v>
      </c>
      <c r="L19" s="15">
        <f t="shared" si="12"/>
        <v>0.04</v>
      </c>
      <c r="M19" s="15">
        <f t="shared" si="12"/>
        <v>0.04</v>
      </c>
      <c r="N19" s="15">
        <f t="shared" si="12"/>
        <v>158.86700000000005</v>
      </c>
      <c r="O19" s="41">
        <f>'march 2023'!T19</f>
        <v>1770.6280000000002</v>
      </c>
      <c r="P19" s="15">
        <f t="shared" si="12"/>
        <v>168.84</v>
      </c>
      <c r="Q19" s="15">
        <f t="shared" si="12"/>
        <v>168.84</v>
      </c>
      <c r="R19" s="15">
        <f t="shared" si="12"/>
        <v>0</v>
      </c>
      <c r="S19" s="15">
        <f t="shared" si="12"/>
        <v>0</v>
      </c>
      <c r="T19" s="15">
        <f t="shared" si="12"/>
        <v>1939.4680000000001</v>
      </c>
      <c r="U19" s="15">
        <f t="shared" si="12"/>
        <v>4124.5959999999986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'march 2023'!H20</f>
        <v>1024.4549999999992</v>
      </c>
      <c r="D20" s="9">
        <v>0</v>
      </c>
      <c r="E20" s="9">
        <f t="shared" si="0"/>
        <v>0</v>
      </c>
      <c r="F20" s="9">
        <v>0</v>
      </c>
      <c r="G20" s="9">
        <f t="shared" si="1"/>
        <v>0</v>
      </c>
      <c r="H20" s="9">
        <f t="shared" si="2"/>
        <v>1024.4549999999992</v>
      </c>
      <c r="I20" s="9">
        <f>'march 2023'!N20</f>
        <v>155.2410000000001</v>
      </c>
      <c r="J20" s="9">
        <v>0.09</v>
      </c>
      <c r="K20" s="9">
        <f t="shared" si="3"/>
        <v>0.09</v>
      </c>
      <c r="L20" s="9">
        <v>0</v>
      </c>
      <c r="M20" s="9">
        <f t="shared" si="4"/>
        <v>0</v>
      </c>
      <c r="N20" s="9">
        <f t="shared" si="5"/>
        <v>155.3310000000001</v>
      </c>
      <c r="O20" s="10">
        <f>'march 2023'!T20</f>
        <v>742.72099999999978</v>
      </c>
      <c r="P20" s="9">
        <v>0.19</v>
      </c>
      <c r="Q20" s="9">
        <f t="shared" si="6"/>
        <v>0.19</v>
      </c>
      <c r="R20" s="9">
        <v>0</v>
      </c>
      <c r="S20" s="9">
        <f t="shared" si="7"/>
        <v>0</v>
      </c>
      <c r="T20" s="10">
        <f t="shared" si="8"/>
        <v>742.91099999999983</v>
      </c>
      <c r="U20" s="10">
        <f t="shared" si="9"/>
        <v>1922.6969999999992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'march 2023'!H21</f>
        <v>142.68999999999988</v>
      </c>
      <c r="D21" s="9">
        <v>0</v>
      </c>
      <c r="E21" s="9">
        <f t="shared" si="0"/>
        <v>0</v>
      </c>
      <c r="F21" s="9">
        <v>0</v>
      </c>
      <c r="G21" s="9">
        <f t="shared" si="1"/>
        <v>0</v>
      </c>
      <c r="H21" s="9">
        <f t="shared" si="2"/>
        <v>142.68999999999988</v>
      </c>
      <c r="I21" s="9">
        <f>'march 2023'!N21</f>
        <v>52.783000000000015</v>
      </c>
      <c r="J21" s="9">
        <v>0.2</v>
      </c>
      <c r="K21" s="9">
        <f t="shared" si="3"/>
        <v>0.2</v>
      </c>
      <c r="L21" s="9">
        <v>0</v>
      </c>
      <c r="M21" s="9">
        <f t="shared" si="4"/>
        <v>0</v>
      </c>
      <c r="N21" s="9">
        <f t="shared" si="5"/>
        <v>52.983000000000018</v>
      </c>
      <c r="O21" s="10">
        <f>'march 2023'!T21</f>
        <v>310.89999999999998</v>
      </c>
      <c r="P21" s="9">
        <v>0</v>
      </c>
      <c r="Q21" s="9">
        <f t="shared" si="6"/>
        <v>0</v>
      </c>
      <c r="R21" s="9">
        <v>0</v>
      </c>
      <c r="S21" s="9">
        <f t="shared" si="7"/>
        <v>0</v>
      </c>
      <c r="T21" s="10">
        <f t="shared" si="8"/>
        <v>310.89999999999998</v>
      </c>
      <c r="U21" s="10">
        <f t="shared" si="9"/>
        <v>506.57299999999987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'march 2023'!H22</f>
        <v>27.069999999999879</v>
      </c>
      <c r="D22" s="9">
        <v>0</v>
      </c>
      <c r="E22" s="9">
        <f t="shared" si="0"/>
        <v>0</v>
      </c>
      <c r="F22" s="9">
        <v>0</v>
      </c>
      <c r="G22" s="9">
        <f t="shared" si="1"/>
        <v>0</v>
      </c>
      <c r="H22" s="9">
        <f t="shared" si="2"/>
        <v>27.069999999999879</v>
      </c>
      <c r="I22" s="9">
        <f>'march 2023'!N22</f>
        <v>15.940000000000005</v>
      </c>
      <c r="J22" s="9">
        <v>0</v>
      </c>
      <c r="K22" s="9">
        <f t="shared" si="3"/>
        <v>0</v>
      </c>
      <c r="L22" s="9">
        <v>0</v>
      </c>
      <c r="M22" s="9">
        <f t="shared" si="4"/>
        <v>0</v>
      </c>
      <c r="N22" s="9">
        <f t="shared" si="5"/>
        <v>15.940000000000005</v>
      </c>
      <c r="O22" s="10">
        <f>'march 2023'!T22</f>
        <v>776.02999999999986</v>
      </c>
      <c r="P22" s="9">
        <v>0.18</v>
      </c>
      <c r="Q22" s="9">
        <f t="shared" si="6"/>
        <v>0.18</v>
      </c>
      <c r="R22" s="9">
        <v>0</v>
      </c>
      <c r="S22" s="9">
        <f t="shared" si="7"/>
        <v>0</v>
      </c>
      <c r="T22" s="10">
        <f t="shared" si="8"/>
        <v>776.20999999999981</v>
      </c>
      <c r="U22" s="10">
        <f t="shared" si="9"/>
        <v>819.21999999999969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'march 2023'!H23</f>
        <v>1133.2019999999998</v>
      </c>
      <c r="D23" s="9">
        <v>0.87</v>
      </c>
      <c r="E23" s="9">
        <f t="shared" si="0"/>
        <v>0.87</v>
      </c>
      <c r="F23" s="9">
        <v>0</v>
      </c>
      <c r="G23" s="9">
        <f t="shared" si="1"/>
        <v>0</v>
      </c>
      <c r="H23" s="9">
        <f t="shared" si="2"/>
        <v>1134.0719999999997</v>
      </c>
      <c r="I23" s="9">
        <f>'march 2023'!N23</f>
        <v>50.203999999999994</v>
      </c>
      <c r="J23" s="9">
        <v>0.28999999999999998</v>
      </c>
      <c r="K23" s="9">
        <f t="shared" si="3"/>
        <v>0.28999999999999998</v>
      </c>
      <c r="L23" s="9">
        <v>0</v>
      </c>
      <c r="M23" s="9">
        <f t="shared" si="4"/>
        <v>0</v>
      </c>
      <c r="N23" s="9">
        <f t="shared" si="5"/>
        <v>50.493999999999993</v>
      </c>
      <c r="O23" s="10">
        <f>'march 2023'!T23</f>
        <v>404.83499999999998</v>
      </c>
      <c r="P23" s="9">
        <v>0.23</v>
      </c>
      <c r="Q23" s="9">
        <f t="shared" si="6"/>
        <v>0.23</v>
      </c>
      <c r="R23" s="9">
        <v>0</v>
      </c>
      <c r="S23" s="9">
        <f t="shared" si="7"/>
        <v>0</v>
      </c>
      <c r="T23" s="10">
        <f t="shared" si="8"/>
        <v>405.065</v>
      </c>
      <c r="U23" s="10">
        <f t="shared" si="9"/>
        <v>1589.6309999999996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'march 2023'!H24</f>
        <v>2327.4169999999986</v>
      </c>
      <c r="D24" s="15">
        <f t="shared" ref="D24:U24" si="13">SUM(D20:D23)</f>
        <v>0.87</v>
      </c>
      <c r="E24" s="15">
        <f t="shared" si="13"/>
        <v>0.87</v>
      </c>
      <c r="F24" s="15">
        <f t="shared" si="13"/>
        <v>0</v>
      </c>
      <c r="G24" s="15">
        <f t="shared" si="13"/>
        <v>0</v>
      </c>
      <c r="H24" s="15">
        <f t="shared" si="13"/>
        <v>2328.2869999999984</v>
      </c>
      <c r="I24" s="15">
        <f>'march 2023'!N24</f>
        <v>274.16800000000012</v>
      </c>
      <c r="J24" s="15">
        <f t="shared" si="13"/>
        <v>0.58000000000000007</v>
      </c>
      <c r="K24" s="15">
        <f t="shared" si="13"/>
        <v>0.58000000000000007</v>
      </c>
      <c r="L24" s="15">
        <f t="shared" si="13"/>
        <v>0</v>
      </c>
      <c r="M24" s="15">
        <f t="shared" si="13"/>
        <v>0</v>
      </c>
      <c r="N24" s="15">
        <f t="shared" si="13"/>
        <v>274.7480000000001</v>
      </c>
      <c r="O24" s="41">
        <f>'march 2023'!T24</f>
        <v>2234.4859999999994</v>
      </c>
      <c r="P24" s="15">
        <f t="shared" si="13"/>
        <v>0.6</v>
      </c>
      <c r="Q24" s="15">
        <f t="shared" si="13"/>
        <v>0.6</v>
      </c>
      <c r="R24" s="15">
        <f t="shared" si="13"/>
        <v>0</v>
      </c>
      <c r="S24" s="15">
        <f t="shared" si="13"/>
        <v>0</v>
      </c>
      <c r="T24" s="15">
        <f t="shared" si="13"/>
        <v>2235.0859999999993</v>
      </c>
      <c r="U24" s="15">
        <f t="shared" si="13"/>
        <v>4838.1209999999983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'march 2023'!H25</f>
        <v>8915.0229999999938</v>
      </c>
      <c r="D25" s="15">
        <f t="shared" ref="D25:U25" si="14">D24+D19+D15+D11</f>
        <v>2.31</v>
      </c>
      <c r="E25" s="15">
        <f t="shared" si="14"/>
        <v>2.31</v>
      </c>
      <c r="F25" s="15">
        <f t="shared" si="14"/>
        <v>0.5</v>
      </c>
      <c r="G25" s="15">
        <f t="shared" si="14"/>
        <v>0.5</v>
      </c>
      <c r="H25" s="15">
        <f t="shared" si="14"/>
        <v>8916.8329999999951</v>
      </c>
      <c r="I25" s="15">
        <f>'march 2023'!N25</f>
        <v>1570.1640000000002</v>
      </c>
      <c r="J25" s="15">
        <f t="shared" si="14"/>
        <v>9.5939999999999994</v>
      </c>
      <c r="K25" s="15">
        <f t="shared" si="14"/>
        <v>9.5939999999999994</v>
      </c>
      <c r="L25" s="15">
        <f t="shared" si="14"/>
        <v>0.04</v>
      </c>
      <c r="M25" s="15">
        <f t="shared" si="14"/>
        <v>0.04</v>
      </c>
      <c r="N25" s="15">
        <f t="shared" si="14"/>
        <v>1579.7180000000003</v>
      </c>
      <c r="O25" s="41">
        <f>'march 2023'!T25</f>
        <v>7051.1939999999995</v>
      </c>
      <c r="P25" s="15">
        <f t="shared" si="14"/>
        <v>207.61</v>
      </c>
      <c r="Q25" s="15">
        <f t="shared" si="14"/>
        <v>207.61</v>
      </c>
      <c r="R25" s="15">
        <f t="shared" si="14"/>
        <v>0</v>
      </c>
      <c r="S25" s="15">
        <f t="shared" si="14"/>
        <v>0</v>
      </c>
      <c r="T25" s="15">
        <f t="shared" si="14"/>
        <v>7258.8039999999992</v>
      </c>
      <c r="U25" s="15">
        <f t="shared" si="14"/>
        <v>17755.354999999996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'march 2023'!H26</f>
        <v>1238.0019999999995</v>
      </c>
      <c r="D26" s="9">
        <v>9.14</v>
      </c>
      <c r="E26" s="9">
        <f t="shared" si="0"/>
        <v>9.14</v>
      </c>
      <c r="F26" s="9">
        <v>0.02</v>
      </c>
      <c r="G26" s="9">
        <f t="shared" si="1"/>
        <v>0.02</v>
      </c>
      <c r="H26" s="9">
        <f t="shared" si="2"/>
        <v>1247.1219999999996</v>
      </c>
      <c r="I26" s="9">
        <f>'march 2023'!N26</f>
        <v>0.11</v>
      </c>
      <c r="J26" s="9">
        <v>0.65</v>
      </c>
      <c r="K26" s="9">
        <f t="shared" si="3"/>
        <v>0.65</v>
      </c>
      <c r="L26" s="9">
        <v>0</v>
      </c>
      <c r="M26" s="9">
        <f t="shared" si="4"/>
        <v>0</v>
      </c>
      <c r="N26" s="9">
        <f t="shared" si="5"/>
        <v>0.76</v>
      </c>
      <c r="O26" s="10">
        <f>'march 2023'!T26</f>
        <v>203.73000000000002</v>
      </c>
      <c r="P26" s="9">
        <v>1.97</v>
      </c>
      <c r="Q26" s="9">
        <f t="shared" si="6"/>
        <v>1.97</v>
      </c>
      <c r="R26" s="9">
        <v>0</v>
      </c>
      <c r="S26" s="9">
        <f t="shared" si="7"/>
        <v>0</v>
      </c>
      <c r="T26" s="10">
        <f t="shared" si="8"/>
        <v>205.70000000000002</v>
      </c>
      <c r="U26" s="10">
        <f t="shared" si="9"/>
        <v>1453.5819999999997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'march 2023'!H27</f>
        <v>10414.156999999992</v>
      </c>
      <c r="D27" s="9">
        <v>4.2300000000000004</v>
      </c>
      <c r="E27" s="9">
        <f t="shared" si="0"/>
        <v>4.2300000000000004</v>
      </c>
      <c r="F27" s="9">
        <v>0</v>
      </c>
      <c r="G27" s="9">
        <f t="shared" si="1"/>
        <v>0</v>
      </c>
      <c r="H27" s="9">
        <f t="shared" si="2"/>
        <v>10418.386999999992</v>
      </c>
      <c r="I27" s="9">
        <f>'march 2023'!N27</f>
        <v>408.435</v>
      </c>
      <c r="J27" s="9">
        <v>0.51</v>
      </c>
      <c r="K27" s="9">
        <f t="shared" si="3"/>
        <v>0.51</v>
      </c>
      <c r="L27" s="9">
        <v>0</v>
      </c>
      <c r="M27" s="9">
        <f t="shared" si="4"/>
        <v>0</v>
      </c>
      <c r="N27" s="9">
        <f t="shared" si="5"/>
        <v>408.94499999999999</v>
      </c>
      <c r="O27" s="10">
        <f>'march 2023'!T27</f>
        <v>43.520000000000017</v>
      </c>
      <c r="P27" s="9">
        <v>0.22</v>
      </c>
      <c r="Q27" s="9">
        <f t="shared" si="6"/>
        <v>0.22</v>
      </c>
      <c r="R27" s="9">
        <v>0</v>
      </c>
      <c r="S27" s="9">
        <f t="shared" si="7"/>
        <v>0</v>
      </c>
      <c r="T27" s="10">
        <f t="shared" si="8"/>
        <v>43.740000000000016</v>
      </c>
      <c r="U27" s="10">
        <f t="shared" si="9"/>
        <v>10871.071999999991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'march 2023'!H28</f>
        <v>11652.158999999992</v>
      </c>
      <c r="D28" s="15">
        <f t="shared" ref="D28:U28" si="15">SUM(D26:D27)</f>
        <v>13.370000000000001</v>
      </c>
      <c r="E28" s="15">
        <f t="shared" si="15"/>
        <v>13.370000000000001</v>
      </c>
      <c r="F28" s="15">
        <f t="shared" si="15"/>
        <v>0.02</v>
      </c>
      <c r="G28" s="15">
        <f t="shared" si="15"/>
        <v>0.02</v>
      </c>
      <c r="H28" s="15">
        <f t="shared" si="15"/>
        <v>11665.508999999991</v>
      </c>
      <c r="I28" s="15">
        <f>'march 2023'!N28</f>
        <v>408.54500000000002</v>
      </c>
      <c r="J28" s="15">
        <f t="shared" si="15"/>
        <v>1.1600000000000001</v>
      </c>
      <c r="K28" s="15">
        <f t="shared" si="15"/>
        <v>1.1600000000000001</v>
      </c>
      <c r="L28" s="15">
        <f t="shared" si="15"/>
        <v>0</v>
      </c>
      <c r="M28" s="15">
        <f t="shared" si="15"/>
        <v>0</v>
      </c>
      <c r="N28" s="15">
        <f t="shared" si="15"/>
        <v>409.70499999999998</v>
      </c>
      <c r="O28" s="41">
        <f>'march 2023'!T28</f>
        <v>247.25000000000003</v>
      </c>
      <c r="P28" s="15">
        <f t="shared" si="15"/>
        <v>2.19</v>
      </c>
      <c r="Q28" s="15">
        <f t="shared" si="15"/>
        <v>2.19</v>
      </c>
      <c r="R28" s="15">
        <f t="shared" si="15"/>
        <v>0</v>
      </c>
      <c r="S28" s="15">
        <f t="shared" si="15"/>
        <v>0</v>
      </c>
      <c r="T28" s="15">
        <f t="shared" si="15"/>
        <v>249.44000000000003</v>
      </c>
      <c r="U28" s="15">
        <f t="shared" si="15"/>
        <v>12324.653999999991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'march 2023'!H29</f>
        <v>4551.0390000000016</v>
      </c>
      <c r="D29" s="9">
        <v>10.3</v>
      </c>
      <c r="E29" s="9">
        <f t="shared" si="0"/>
        <v>10.3</v>
      </c>
      <c r="F29" s="9">
        <v>0</v>
      </c>
      <c r="G29" s="9">
        <f t="shared" si="1"/>
        <v>0</v>
      </c>
      <c r="H29" s="9">
        <f t="shared" si="2"/>
        <v>4561.3390000000018</v>
      </c>
      <c r="I29" s="9">
        <f>'march 2023'!N29</f>
        <v>184.70000000000002</v>
      </c>
      <c r="J29" s="9">
        <v>0</v>
      </c>
      <c r="K29" s="9">
        <f t="shared" si="3"/>
        <v>0</v>
      </c>
      <c r="L29" s="9">
        <v>0</v>
      </c>
      <c r="M29" s="9">
        <f t="shared" si="4"/>
        <v>0</v>
      </c>
      <c r="N29" s="9">
        <f t="shared" si="5"/>
        <v>184.70000000000002</v>
      </c>
      <c r="O29" s="10">
        <f>'march 2023'!T29</f>
        <v>517.27</v>
      </c>
      <c r="P29" s="9">
        <f>0.246+0.24+7.67</f>
        <v>8.1560000000000006</v>
      </c>
      <c r="Q29" s="9">
        <f t="shared" si="6"/>
        <v>8.1560000000000006</v>
      </c>
      <c r="R29" s="9">
        <v>0</v>
      </c>
      <c r="S29" s="9">
        <f t="shared" si="7"/>
        <v>0</v>
      </c>
      <c r="T29" s="10">
        <f t="shared" si="8"/>
        <v>525.42599999999993</v>
      </c>
      <c r="U29" s="10">
        <f t="shared" si="9"/>
        <v>5271.465000000002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'march 2023'!H30</f>
        <v>6450.992000000002</v>
      </c>
      <c r="D30" s="9">
        <v>22.71</v>
      </c>
      <c r="E30" s="9">
        <f t="shared" si="0"/>
        <v>22.71</v>
      </c>
      <c r="F30" s="9">
        <v>0</v>
      </c>
      <c r="G30" s="9">
        <f t="shared" si="1"/>
        <v>0</v>
      </c>
      <c r="H30" s="9">
        <f t="shared" si="2"/>
        <v>6473.702000000002</v>
      </c>
      <c r="I30" s="9">
        <f>'march 2023'!N30</f>
        <v>130.80000000000001</v>
      </c>
      <c r="J30" s="9">
        <v>3.9</v>
      </c>
      <c r="K30" s="9">
        <f t="shared" si="3"/>
        <v>3.9</v>
      </c>
      <c r="L30" s="9">
        <v>0</v>
      </c>
      <c r="M30" s="9">
        <f t="shared" si="4"/>
        <v>0</v>
      </c>
      <c r="N30" s="9">
        <f t="shared" si="5"/>
        <v>134.70000000000002</v>
      </c>
      <c r="O30" s="10">
        <f>'march 2023'!T30</f>
        <v>194.78</v>
      </c>
      <c r="P30" s="9">
        <v>89.82</v>
      </c>
      <c r="Q30" s="9">
        <f t="shared" si="6"/>
        <v>89.82</v>
      </c>
      <c r="R30" s="9">
        <v>0</v>
      </c>
      <c r="S30" s="9">
        <f t="shared" si="7"/>
        <v>0</v>
      </c>
      <c r="T30" s="10">
        <f t="shared" si="8"/>
        <v>284.60000000000002</v>
      </c>
      <c r="U30" s="10">
        <f t="shared" si="9"/>
        <v>6893.0020000000022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'march 2023'!H31</f>
        <v>3128.3549999999996</v>
      </c>
      <c r="D31" s="9">
        <v>3.4430000000000001</v>
      </c>
      <c r="E31" s="9">
        <f t="shared" si="0"/>
        <v>3.4430000000000001</v>
      </c>
      <c r="F31" s="9">
        <v>0</v>
      </c>
      <c r="G31" s="9">
        <f t="shared" si="1"/>
        <v>0</v>
      </c>
      <c r="H31" s="9">
        <f t="shared" si="2"/>
        <v>3131.7979999999998</v>
      </c>
      <c r="I31" s="9">
        <f>'march 2023'!N31</f>
        <v>50.180000000000007</v>
      </c>
      <c r="J31" s="9">
        <v>0</v>
      </c>
      <c r="K31" s="9">
        <f t="shared" si="3"/>
        <v>0</v>
      </c>
      <c r="L31" s="9">
        <v>0</v>
      </c>
      <c r="M31" s="9">
        <f t="shared" si="4"/>
        <v>0</v>
      </c>
      <c r="N31" s="9">
        <f t="shared" si="5"/>
        <v>50.180000000000007</v>
      </c>
      <c r="O31" s="10">
        <f>'march 2023'!T31</f>
        <v>244.44</v>
      </c>
      <c r="P31" s="9">
        <v>0</v>
      </c>
      <c r="Q31" s="9">
        <f t="shared" si="6"/>
        <v>0</v>
      </c>
      <c r="R31" s="9">
        <v>0</v>
      </c>
      <c r="S31" s="9">
        <f t="shared" si="7"/>
        <v>0</v>
      </c>
      <c r="T31" s="10">
        <f t="shared" si="8"/>
        <v>244.44</v>
      </c>
      <c r="U31" s="10">
        <f t="shared" si="9"/>
        <v>3426.4179999999997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'march 2023'!H32</f>
        <v>4401.28</v>
      </c>
      <c r="D32" s="9">
        <v>2.79</v>
      </c>
      <c r="E32" s="9">
        <f t="shared" si="0"/>
        <v>2.79</v>
      </c>
      <c r="F32" s="9">
        <v>0</v>
      </c>
      <c r="G32" s="9">
        <f t="shared" si="1"/>
        <v>0</v>
      </c>
      <c r="H32" s="9">
        <f t="shared" si="2"/>
        <v>4404.07</v>
      </c>
      <c r="I32" s="9">
        <f>'march 2023'!N32</f>
        <v>226.37999999999997</v>
      </c>
      <c r="J32" s="9">
        <v>12.22</v>
      </c>
      <c r="K32" s="9">
        <f t="shared" si="3"/>
        <v>12.22</v>
      </c>
      <c r="L32" s="9">
        <v>0</v>
      </c>
      <c r="M32" s="9">
        <f t="shared" si="4"/>
        <v>0</v>
      </c>
      <c r="N32" s="9">
        <f t="shared" si="5"/>
        <v>238.59999999999997</v>
      </c>
      <c r="O32" s="10">
        <f>'march 2023'!T32</f>
        <v>243.64999999999995</v>
      </c>
      <c r="P32" s="9">
        <v>0.05</v>
      </c>
      <c r="Q32" s="9">
        <f t="shared" si="6"/>
        <v>0.05</v>
      </c>
      <c r="R32" s="9">
        <v>0</v>
      </c>
      <c r="S32" s="9">
        <f t="shared" si="7"/>
        <v>0</v>
      </c>
      <c r="T32" s="10">
        <f t="shared" si="8"/>
        <v>243.69999999999996</v>
      </c>
      <c r="U32" s="10">
        <f t="shared" si="9"/>
        <v>4886.37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'march 2023'!H33</f>
        <v>18531.666000000001</v>
      </c>
      <c r="D33" s="15">
        <f t="shared" ref="D33:U33" si="16">SUM(D29:D32)</f>
        <v>39.243000000000002</v>
      </c>
      <c r="E33" s="15">
        <f t="shared" si="16"/>
        <v>39.243000000000002</v>
      </c>
      <c r="F33" s="15">
        <f t="shared" si="16"/>
        <v>0</v>
      </c>
      <c r="G33" s="15">
        <f t="shared" si="16"/>
        <v>0</v>
      </c>
      <c r="H33" s="15">
        <f t="shared" si="16"/>
        <v>18570.909000000003</v>
      </c>
      <c r="I33" s="15">
        <f>'march 2023'!N33</f>
        <v>592.05999999999995</v>
      </c>
      <c r="J33" s="15">
        <f t="shared" si="16"/>
        <v>16.12</v>
      </c>
      <c r="K33" s="15">
        <f t="shared" si="16"/>
        <v>16.12</v>
      </c>
      <c r="L33" s="15">
        <f t="shared" si="16"/>
        <v>0</v>
      </c>
      <c r="M33" s="15">
        <f t="shared" si="16"/>
        <v>0</v>
      </c>
      <c r="N33" s="15">
        <f t="shared" si="16"/>
        <v>608.18000000000006</v>
      </c>
      <c r="O33" s="41">
        <f>'march 2023'!T33</f>
        <v>1200.1399999999999</v>
      </c>
      <c r="P33" s="15">
        <f t="shared" si="16"/>
        <v>98.025999999999996</v>
      </c>
      <c r="Q33" s="15">
        <f t="shared" si="16"/>
        <v>98.025999999999996</v>
      </c>
      <c r="R33" s="15">
        <f t="shared" si="16"/>
        <v>0</v>
      </c>
      <c r="S33" s="15">
        <f t="shared" si="16"/>
        <v>0</v>
      </c>
      <c r="T33" s="15">
        <f t="shared" si="16"/>
        <v>1298.1659999999999</v>
      </c>
      <c r="U33" s="15">
        <f t="shared" si="16"/>
        <v>20477.255000000005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'march 2023'!H34</f>
        <v>6128.0000000000018</v>
      </c>
      <c r="D34" s="9">
        <f>9.89+20.17</f>
        <v>30.060000000000002</v>
      </c>
      <c r="E34" s="9">
        <f t="shared" si="0"/>
        <v>30.060000000000002</v>
      </c>
      <c r="F34" s="9">
        <v>0</v>
      </c>
      <c r="G34" s="9">
        <f t="shared" si="1"/>
        <v>0</v>
      </c>
      <c r="H34" s="9">
        <f t="shared" si="2"/>
        <v>6158.0600000000022</v>
      </c>
      <c r="I34" s="9">
        <f>'march 2023'!N34</f>
        <v>2</v>
      </c>
      <c r="J34" s="9">
        <v>0</v>
      </c>
      <c r="K34" s="9">
        <f t="shared" si="3"/>
        <v>0</v>
      </c>
      <c r="L34" s="9">
        <v>0</v>
      </c>
      <c r="M34" s="9">
        <f t="shared" si="4"/>
        <v>0</v>
      </c>
      <c r="N34" s="9">
        <f t="shared" si="5"/>
        <v>2</v>
      </c>
      <c r="O34" s="10">
        <f>'march 2023'!T34</f>
        <v>38.700000000000003</v>
      </c>
      <c r="P34" s="9">
        <v>0</v>
      </c>
      <c r="Q34" s="9">
        <f t="shared" si="6"/>
        <v>0</v>
      </c>
      <c r="R34" s="9">
        <v>0</v>
      </c>
      <c r="S34" s="9">
        <f t="shared" si="7"/>
        <v>0</v>
      </c>
      <c r="T34" s="10">
        <f t="shared" si="8"/>
        <v>38.700000000000003</v>
      </c>
      <c r="U34" s="10">
        <f t="shared" si="9"/>
        <v>6198.760000000002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'march 2023'!H35</f>
        <v>4909.7650000000012</v>
      </c>
      <c r="D35" s="9">
        <f>16+437.5</f>
        <v>453.5</v>
      </c>
      <c r="E35" s="9">
        <f t="shared" si="0"/>
        <v>453.5</v>
      </c>
      <c r="F35" s="9">
        <v>0</v>
      </c>
      <c r="G35" s="9">
        <f t="shared" si="1"/>
        <v>0</v>
      </c>
      <c r="H35" s="9">
        <f t="shared" si="2"/>
        <v>5363.2650000000012</v>
      </c>
      <c r="I35" s="9">
        <f>'march 2023'!N35</f>
        <v>0.1</v>
      </c>
      <c r="J35" s="9">
        <v>0</v>
      </c>
      <c r="K35" s="9">
        <f t="shared" si="3"/>
        <v>0</v>
      </c>
      <c r="L35" s="9">
        <v>0</v>
      </c>
      <c r="M35" s="9">
        <f t="shared" si="4"/>
        <v>0</v>
      </c>
      <c r="N35" s="9">
        <f t="shared" si="5"/>
        <v>0.1</v>
      </c>
      <c r="O35" s="10">
        <f>'march 2023'!T35</f>
        <v>125.47000000000001</v>
      </c>
      <c r="P35" s="9">
        <v>0</v>
      </c>
      <c r="Q35" s="9">
        <f t="shared" si="6"/>
        <v>0</v>
      </c>
      <c r="R35" s="9">
        <v>0</v>
      </c>
      <c r="S35" s="9">
        <f t="shared" si="7"/>
        <v>0</v>
      </c>
      <c r="T35" s="10">
        <f t="shared" si="8"/>
        <v>125.47000000000001</v>
      </c>
      <c r="U35" s="10">
        <f t="shared" si="9"/>
        <v>5488.8350000000019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'march 2023'!H36</f>
        <v>19469.020000000004</v>
      </c>
      <c r="D36" s="9">
        <v>305.38</v>
      </c>
      <c r="E36" s="9">
        <f t="shared" si="0"/>
        <v>305.38</v>
      </c>
      <c r="F36" s="9">
        <v>0</v>
      </c>
      <c r="G36" s="9">
        <f t="shared" si="1"/>
        <v>0</v>
      </c>
      <c r="H36" s="9">
        <f t="shared" si="2"/>
        <v>19774.400000000005</v>
      </c>
      <c r="I36" s="9">
        <f>'march 2023'!N36</f>
        <v>8.5</v>
      </c>
      <c r="J36" s="9">
        <v>0</v>
      </c>
      <c r="K36" s="9">
        <f t="shared" si="3"/>
        <v>0</v>
      </c>
      <c r="L36" s="9">
        <v>0</v>
      </c>
      <c r="M36" s="9">
        <f t="shared" si="4"/>
        <v>0</v>
      </c>
      <c r="N36" s="9">
        <f t="shared" si="5"/>
        <v>8.5</v>
      </c>
      <c r="O36" s="10">
        <f>'march 2023'!T36</f>
        <v>72.39</v>
      </c>
      <c r="P36" s="9">
        <v>0</v>
      </c>
      <c r="Q36" s="9">
        <f t="shared" si="6"/>
        <v>0</v>
      </c>
      <c r="R36" s="9">
        <v>0</v>
      </c>
      <c r="S36" s="9">
        <f t="shared" si="7"/>
        <v>0</v>
      </c>
      <c r="T36" s="10">
        <f t="shared" si="8"/>
        <v>72.39</v>
      </c>
      <c r="U36" s="10">
        <f t="shared" si="9"/>
        <v>19855.290000000005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'march 2023'!H37</f>
        <v>7024.96</v>
      </c>
      <c r="D37" s="9">
        <v>6.17</v>
      </c>
      <c r="E37" s="9">
        <f t="shared" si="0"/>
        <v>6.17</v>
      </c>
      <c r="F37" s="9">
        <v>0.02</v>
      </c>
      <c r="G37" s="9">
        <f t="shared" si="1"/>
        <v>0.02</v>
      </c>
      <c r="H37" s="9">
        <f t="shared" si="2"/>
        <v>7031.11</v>
      </c>
      <c r="I37" s="9">
        <f>'march 2023'!N37</f>
        <v>0</v>
      </c>
      <c r="J37" s="9">
        <v>0</v>
      </c>
      <c r="K37" s="9">
        <f t="shared" si="3"/>
        <v>0</v>
      </c>
      <c r="L37" s="9">
        <v>0</v>
      </c>
      <c r="M37" s="9">
        <f t="shared" si="4"/>
        <v>0</v>
      </c>
      <c r="N37" s="9">
        <f t="shared" si="5"/>
        <v>0</v>
      </c>
      <c r="O37" s="10">
        <f>'march 2023'!T37</f>
        <v>3.1</v>
      </c>
      <c r="P37" s="9">
        <v>0</v>
      </c>
      <c r="Q37" s="9">
        <f t="shared" si="6"/>
        <v>0</v>
      </c>
      <c r="R37" s="9">
        <v>0</v>
      </c>
      <c r="S37" s="9">
        <f t="shared" si="7"/>
        <v>0</v>
      </c>
      <c r="T37" s="10">
        <f t="shared" si="8"/>
        <v>3.1</v>
      </c>
      <c r="U37" s="10">
        <f t="shared" si="9"/>
        <v>7034.21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'march 2023'!H38</f>
        <v>37531.74500000001</v>
      </c>
      <c r="D38" s="15">
        <f t="shared" ref="D38:U38" si="17">SUM(D34:D37)</f>
        <v>795.11</v>
      </c>
      <c r="E38" s="15">
        <f t="shared" si="17"/>
        <v>795.11</v>
      </c>
      <c r="F38" s="15">
        <f t="shared" si="17"/>
        <v>0.02</v>
      </c>
      <c r="G38" s="15">
        <f t="shared" si="17"/>
        <v>0.02</v>
      </c>
      <c r="H38" s="15">
        <f t="shared" si="17"/>
        <v>38326.835000000006</v>
      </c>
      <c r="I38" s="15">
        <f>'march 2023'!N38</f>
        <v>10.6</v>
      </c>
      <c r="J38" s="15">
        <f t="shared" si="17"/>
        <v>0</v>
      </c>
      <c r="K38" s="15">
        <f t="shared" si="17"/>
        <v>0</v>
      </c>
      <c r="L38" s="15">
        <f t="shared" si="17"/>
        <v>0</v>
      </c>
      <c r="M38" s="15">
        <f t="shared" si="17"/>
        <v>0</v>
      </c>
      <c r="N38" s="15">
        <f t="shared" si="17"/>
        <v>10.6</v>
      </c>
      <c r="O38" s="41">
        <f>'march 2023'!T38</f>
        <v>239.66</v>
      </c>
      <c r="P38" s="15">
        <f t="shared" si="17"/>
        <v>0</v>
      </c>
      <c r="Q38" s="15">
        <f t="shared" si="17"/>
        <v>0</v>
      </c>
      <c r="R38" s="15">
        <f t="shared" si="17"/>
        <v>0</v>
      </c>
      <c r="S38" s="15">
        <f t="shared" si="17"/>
        <v>0</v>
      </c>
      <c r="T38" s="15">
        <f t="shared" si="17"/>
        <v>239.66</v>
      </c>
      <c r="U38" s="15">
        <f t="shared" si="17"/>
        <v>38577.095000000008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'march 2023'!H39</f>
        <v>67715.570000000007</v>
      </c>
      <c r="D39" s="15">
        <f t="shared" ref="D39:U39" si="18">D38+D33+D28</f>
        <v>847.72300000000007</v>
      </c>
      <c r="E39" s="15">
        <f t="shared" si="18"/>
        <v>847.72300000000007</v>
      </c>
      <c r="F39" s="15">
        <f t="shared" si="18"/>
        <v>0.04</v>
      </c>
      <c r="G39" s="15">
        <f t="shared" si="18"/>
        <v>0.04</v>
      </c>
      <c r="H39" s="15">
        <f t="shared" si="18"/>
        <v>68563.252999999997</v>
      </c>
      <c r="I39" s="15">
        <f>'march 2023'!N39</f>
        <v>1011.2049999999999</v>
      </c>
      <c r="J39" s="15">
        <f t="shared" si="18"/>
        <v>17.28</v>
      </c>
      <c r="K39" s="15">
        <f t="shared" si="18"/>
        <v>17.28</v>
      </c>
      <c r="L39" s="15">
        <f t="shared" si="18"/>
        <v>0</v>
      </c>
      <c r="M39" s="15">
        <f t="shared" si="18"/>
        <v>0</v>
      </c>
      <c r="N39" s="15">
        <f t="shared" si="18"/>
        <v>1028.4850000000001</v>
      </c>
      <c r="O39" s="41">
        <f>'march 2023'!T39</f>
        <v>1687.05</v>
      </c>
      <c r="P39" s="15">
        <f t="shared" si="18"/>
        <v>100.21599999999999</v>
      </c>
      <c r="Q39" s="15">
        <f t="shared" si="18"/>
        <v>100.21599999999999</v>
      </c>
      <c r="R39" s="15">
        <f t="shared" si="18"/>
        <v>0</v>
      </c>
      <c r="S39" s="15">
        <f t="shared" si="18"/>
        <v>0</v>
      </c>
      <c r="T39" s="15">
        <f t="shared" si="18"/>
        <v>1787.2660000000001</v>
      </c>
      <c r="U39" s="15">
        <f t="shared" si="18"/>
        <v>71379.004000000001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'march 2023'!H40</f>
        <v>13909.248000000003</v>
      </c>
      <c r="D40" s="9">
        <v>6.39</v>
      </c>
      <c r="E40" s="9">
        <f t="shared" si="0"/>
        <v>6.39</v>
      </c>
      <c r="F40" s="9">
        <v>0</v>
      </c>
      <c r="G40" s="9">
        <f t="shared" si="1"/>
        <v>0</v>
      </c>
      <c r="H40" s="9">
        <f t="shared" si="2"/>
        <v>13915.638000000003</v>
      </c>
      <c r="I40" s="9">
        <f>'march 2023'!N40</f>
        <v>226.8</v>
      </c>
      <c r="J40" s="9">
        <v>0</v>
      </c>
      <c r="K40" s="9">
        <f t="shared" si="3"/>
        <v>0</v>
      </c>
      <c r="L40" s="9">
        <v>0</v>
      </c>
      <c r="M40" s="9">
        <f t="shared" si="4"/>
        <v>0</v>
      </c>
      <c r="N40" s="9">
        <f t="shared" si="5"/>
        <v>226.8</v>
      </c>
      <c r="O40" s="10">
        <f>'march 2023'!T40</f>
        <v>75.02000000000001</v>
      </c>
      <c r="P40" s="9">
        <v>0</v>
      </c>
      <c r="Q40" s="9">
        <f t="shared" si="6"/>
        <v>0</v>
      </c>
      <c r="R40" s="9">
        <v>0</v>
      </c>
      <c r="S40" s="9">
        <f t="shared" si="7"/>
        <v>0</v>
      </c>
      <c r="T40" s="10">
        <f t="shared" si="8"/>
        <v>75.02000000000001</v>
      </c>
      <c r="U40" s="10">
        <f t="shared" si="9"/>
        <v>14217.458000000002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'march 2023'!H41</f>
        <v>10692.235999999994</v>
      </c>
      <c r="D41" s="9">
        <v>0.86</v>
      </c>
      <c r="E41" s="9">
        <f t="shared" si="0"/>
        <v>0.86</v>
      </c>
      <c r="F41" s="9">
        <v>0</v>
      </c>
      <c r="G41" s="9">
        <f t="shared" si="1"/>
        <v>0</v>
      </c>
      <c r="H41" s="9">
        <f t="shared" si="2"/>
        <v>10693.095999999994</v>
      </c>
      <c r="I41" s="9">
        <f>'march 2023'!N41</f>
        <v>0</v>
      </c>
      <c r="J41" s="9">
        <v>0</v>
      </c>
      <c r="K41" s="9">
        <f t="shared" si="3"/>
        <v>0</v>
      </c>
      <c r="L41" s="9">
        <v>0</v>
      </c>
      <c r="M41" s="9">
        <f t="shared" si="4"/>
        <v>0</v>
      </c>
      <c r="N41" s="9">
        <f t="shared" si="5"/>
        <v>0</v>
      </c>
      <c r="O41" s="10">
        <f>'march 2023'!T41</f>
        <v>89.580000000000013</v>
      </c>
      <c r="P41" s="9">
        <v>0</v>
      </c>
      <c r="Q41" s="9">
        <f t="shared" si="6"/>
        <v>0</v>
      </c>
      <c r="R41" s="9">
        <v>0</v>
      </c>
      <c r="S41" s="9">
        <f t="shared" si="7"/>
        <v>0</v>
      </c>
      <c r="T41" s="10">
        <f t="shared" si="8"/>
        <v>89.580000000000013</v>
      </c>
      <c r="U41" s="10">
        <f t="shared" si="9"/>
        <v>10782.675999999994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'march 2023'!H42</f>
        <v>24080.234000000004</v>
      </c>
      <c r="D42" s="9">
        <f>19.01+96.87</f>
        <v>115.88000000000001</v>
      </c>
      <c r="E42" s="9">
        <f t="shared" si="0"/>
        <v>115.88000000000001</v>
      </c>
      <c r="F42" s="9">
        <v>0</v>
      </c>
      <c r="G42" s="9">
        <f t="shared" si="1"/>
        <v>0</v>
      </c>
      <c r="H42" s="9">
        <f t="shared" si="2"/>
        <v>24196.114000000005</v>
      </c>
      <c r="I42" s="9">
        <f>'march 2023'!N42</f>
        <v>0</v>
      </c>
      <c r="J42" s="9">
        <v>0</v>
      </c>
      <c r="K42" s="9">
        <f t="shared" si="3"/>
        <v>0</v>
      </c>
      <c r="L42" s="9">
        <v>0</v>
      </c>
      <c r="M42" s="9">
        <f t="shared" si="4"/>
        <v>0</v>
      </c>
      <c r="N42" s="9">
        <f t="shared" si="5"/>
        <v>0</v>
      </c>
      <c r="O42" s="10">
        <f>'march 2023'!T42</f>
        <v>38.47</v>
      </c>
      <c r="P42" s="9">
        <v>0</v>
      </c>
      <c r="Q42" s="9">
        <f t="shared" si="6"/>
        <v>0</v>
      </c>
      <c r="R42" s="9">
        <v>0</v>
      </c>
      <c r="S42" s="9">
        <f t="shared" si="7"/>
        <v>0</v>
      </c>
      <c r="T42" s="10">
        <f t="shared" si="8"/>
        <v>38.47</v>
      </c>
      <c r="U42" s="10">
        <f t="shared" si="9"/>
        <v>24234.584000000006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'march 2023'!H43</f>
        <v>2480.0030000000002</v>
      </c>
      <c r="D43" s="9">
        <f>5.26+55.71</f>
        <v>60.97</v>
      </c>
      <c r="E43" s="9">
        <f t="shared" si="0"/>
        <v>60.97</v>
      </c>
      <c r="F43" s="9">
        <v>0</v>
      </c>
      <c r="G43" s="9">
        <f t="shared" si="1"/>
        <v>0</v>
      </c>
      <c r="H43" s="9">
        <f t="shared" si="2"/>
        <v>2540.973</v>
      </c>
      <c r="I43" s="9">
        <f>'march 2023'!N43</f>
        <v>0</v>
      </c>
      <c r="J43" s="9">
        <v>0</v>
      </c>
      <c r="K43" s="9">
        <f t="shared" si="3"/>
        <v>0</v>
      </c>
      <c r="L43" s="9">
        <v>0</v>
      </c>
      <c r="M43" s="9">
        <f t="shared" si="4"/>
        <v>0</v>
      </c>
      <c r="N43" s="9">
        <f t="shared" si="5"/>
        <v>0</v>
      </c>
      <c r="O43" s="10">
        <f>'march 2023'!T43</f>
        <v>146.49</v>
      </c>
      <c r="P43" s="9">
        <v>0</v>
      </c>
      <c r="Q43" s="9">
        <f t="shared" si="6"/>
        <v>0</v>
      </c>
      <c r="R43" s="9">
        <v>0</v>
      </c>
      <c r="S43" s="9">
        <f t="shared" si="7"/>
        <v>0</v>
      </c>
      <c r="T43" s="10">
        <f t="shared" si="8"/>
        <v>146.49</v>
      </c>
      <c r="U43" s="10">
        <f t="shared" si="9"/>
        <v>2687.4629999999997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'march 2023'!H44</f>
        <v>51161.720999999998</v>
      </c>
      <c r="D44" s="15">
        <f t="shared" ref="D44:U44" si="19">SUM(D40:D43)</f>
        <v>184.10000000000002</v>
      </c>
      <c r="E44" s="15">
        <f t="shared" si="19"/>
        <v>184.10000000000002</v>
      </c>
      <c r="F44" s="15">
        <f t="shared" si="19"/>
        <v>0</v>
      </c>
      <c r="G44" s="15">
        <f t="shared" si="19"/>
        <v>0</v>
      </c>
      <c r="H44" s="15">
        <f t="shared" si="19"/>
        <v>51345.820999999996</v>
      </c>
      <c r="I44" s="15">
        <f>'march 2023'!N44</f>
        <v>226.8</v>
      </c>
      <c r="J44" s="15">
        <f t="shared" si="19"/>
        <v>0</v>
      </c>
      <c r="K44" s="15">
        <f t="shared" si="19"/>
        <v>0</v>
      </c>
      <c r="L44" s="15">
        <f t="shared" si="19"/>
        <v>0</v>
      </c>
      <c r="M44" s="15">
        <f t="shared" si="19"/>
        <v>0</v>
      </c>
      <c r="N44" s="15">
        <f t="shared" si="19"/>
        <v>226.8</v>
      </c>
      <c r="O44" s="41">
        <f>'march 2023'!T44</f>
        <v>349.56000000000006</v>
      </c>
      <c r="P44" s="15">
        <f t="shared" si="19"/>
        <v>0</v>
      </c>
      <c r="Q44" s="15">
        <f t="shared" si="19"/>
        <v>0</v>
      </c>
      <c r="R44" s="15">
        <f t="shared" si="19"/>
        <v>0</v>
      </c>
      <c r="S44" s="15">
        <f t="shared" si="19"/>
        <v>0</v>
      </c>
      <c r="T44" s="15">
        <f t="shared" si="19"/>
        <v>349.56000000000006</v>
      </c>
      <c r="U44" s="15">
        <f t="shared" si="19"/>
        <v>51922.181000000011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'march 2023'!H45</f>
        <v>14125.665000000001</v>
      </c>
      <c r="D45" s="9">
        <v>3.79</v>
      </c>
      <c r="E45" s="9">
        <f t="shared" si="0"/>
        <v>3.79</v>
      </c>
      <c r="F45" s="9">
        <v>0</v>
      </c>
      <c r="G45" s="9">
        <f t="shared" si="1"/>
        <v>0</v>
      </c>
      <c r="H45" s="9">
        <f t="shared" si="2"/>
        <v>14129.455000000002</v>
      </c>
      <c r="I45" s="9">
        <f>'march 2023'!N45</f>
        <v>6.67</v>
      </c>
      <c r="J45" s="9">
        <v>0</v>
      </c>
      <c r="K45" s="9">
        <f t="shared" si="3"/>
        <v>0</v>
      </c>
      <c r="L45" s="9">
        <v>0</v>
      </c>
      <c r="M45" s="9">
        <f t="shared" si="4"/>
        <v>0</v>
      </c>
      <c r="N45" s="9">
        <f t="shared" si="5"/>
        <v>6.67</v>
      </c>
      <c r="O45" s="10">
        <f>'march 2023'!T45</f>
        <v>105.87000000000002</v>
      </c>
      <c r="P45" s="9">
        <v>0</v>
      </c>
      <c r="Q45" s="9">
        <f t="shared" si="6"/>
        <v>0</v>
      </c>
      <c r="R45" s="9">
        <v>0</v>
      </c>
      <c r="S45" s="9">
        <f t="shared" si="7"/>
        <v>0</v>
      </c>
      <c r="T45" s="10">
        <f t="shared" si="8"/>
        <v>105.87000000000002</v>
      </c>
      <c r="U45" s="10">
        <f t="shared" si="9"/>
        <v>14241.995000000003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'march 2023'!H46</f>
        <v>7413.0549999999985</v>
      </c>
      <c r="D46" s="9">
        <v>27.68</v>
      </c>
      <c r="E46" s="9">
        <f t="shared" si="0"/>
        <v>27.68</v>
      </c>
      <c r="F46" s="9">
        <v>0</v>
      </c>
      <c r="G46" s="9">
        <f t="shared" si="1"/>
        <v>0</v>
      </c>
      <c r="H46" s="9">
        <f t="shared" si="2"/>
        <v>7440.7349999999988</v>
      </c>
      <c r="I46" s="9">
        <f>'march 2023'!N46</f>
        <v>0</v>
      </c>
      <c r="J46" s="9">
        <v>0</v>
      </c>
      <c r="K46" s="9">
        <f t="shared" si="3"/>
        <v>0</v>
      </c>
      <c r="L46" s="9">
        <v>0</v>
      </c>
      <c r="M46" s="9">
        <f t="shared" si="4"/>
        <v>0</v>
      </c>
      <c r="N46" s="9">
        <f t="shared" si="5"/>
        <v>0</v>
      </c>
      <c r="O46" s="10">
        <f>'march 2023'!T46</f>
        <v>7.5900000000000007</v>
      </c>
      <c r="P46" s="9">
        <v>0</v>
      </c>
      <c r="Q46" s="9">
        <f t="shared" si="6"/>
        <v>0</v>
      </c>
      <c r="R46" s="9">
        <v>0</v>
      </c>
      <c r="S46" s="9">
        <f t="shared" si="7"/>
        <v>0</v>
      </c>
      <c r="T46" s="10">
        <f t="shared" si="8"/>
        <v>7.5900000000000007</v>
      </c>
      <c r="U46" s="10">
        <f t="shared" si="9"/>
        <v>7448.3249999999989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'march 2023'!H47</f>
        <v>12304.040000000005</v>
      </c>
      <c r="D47" s="9">
        <v>0.04</v>
      </c>
      <c r="E47" s="9">
        <f t="shared" si="0"/>
        <v>0.04</v>
      </c>
      <c r="F47" s="9">
        <v>0</v>
      </c>
      <c r="G47" s="9">
        <f t="shared" si="1"/>
        <v>0</v>
      </c>
      <c r="H47" s="9">
        <f t="shared" si="2"/>
        <v>12304.080000000005</v>
      </c>
      <c r="I47" s="9">
        <f>'march 2023'!N47</f>
        <v>1.2999999999999998</v>
      </c>
      <c r="J47" s="9">
        <v>0</v>
      </c>
      <c r="K47" s="9">
        <f t="shared" si="3"/>
        <v>0</v>
      </c>
      <c r="L47" s="9">
        <v>0</v>
      </c>
      <c r="M47" s="9">
        <f t="shared" si="4"/>
        <v>0</v>
      </c>
      <c r="N47" s="9">
        <f t="shared" si="5"/>
        <v>1.2999999999999998</v>
      </c>
      <c r="O47" s="10">
        <f>'march 2023'!T47</f>
        <v>86.18</v>
      </c>
      <c r="P47" s="9">
        <v>0</v>
      </c>
      <c r="Q47" s="9">
        <f t="shared" si="6"/>
        <v>0</v>
      </c>
      <c r="R47" s="9">
        <v>0</v>
      </c>
      <c r="S47" s="9">
        <f t="shared" si="7"/>
        <v>0</v>
      </c>
      <c r="T47" s="10">
        <f t="shared" si="8"/>
        <v>86.18</v>
      </c>
      <c r="U47" s="10">
        <f t="shared" si="9"/>
        <v>12391.560000000005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'march 2023'!H48</f>
        <v>11107.212000000009</v>
      </c>
      <c r="D48" s="9">
        <v>2.5</v>
      </c>
      <c r="E48" s="9">
        <f t="shared" si="0"/>
        <v>2.5</v>
      </c>
      <c r="F48" s="9">
        <v>0</v>
      </c>
      <c r="G48" s="9">
        <f t="shared" si="1"/>
        <v>0</v>
      </c>
      <c r="H48" s="9">
        <f t="shared" si="2"/>
        <v>11109.712000000009</v>
      </c>
      <c r="I48" s="9">
        <f>'march 2023'!N48</f>
        <v>0</v>
      </c>
      <c r="J48" s="9">
        <v>0</v>
      </c>
      <c r="K48" s="9">
        <f t="shared" si="3"/>
        <v>0</v>
      </c>
      <c r="L48" s="9">
        <v>0</v>
      </c>
      <c r="M48" s="9">
        <f t="shared" si="4"/>
        <v>0</v>
      </c>
      <c r="N48" s="9">
        <f t="shared" si="5"/>
        <v>0</v>
      </c>
      <c r="O48" s="10">
        <f>'march 2023'!T48</f>
        <v>30.53</v>
      </c>
      <c r="P48" s="9">
        <v>0</v>
      </c>
      <c r="Q48" s="9">
        <f t="shared" si="6"/>
        <v>0</v>
      </c>
      <c r="R48" s="9">
        <v>0</v>
      </c>
      <c r="S48" s="9">
        <f t="shared" si="7"/>
        <v>0</v>
      </c>
      <c r="T48" s="10">
        <f t="shared" si="8"/>
        <v>30.53</v>
      </c>
      <c r="U48" s="10">
        <f t="shared" si="9"/>
        <v>11140.242000000009</v>
      </c>
      <c r="V48" s="75"/>
      <c r="W48" s="11"/>
    </row>
    <row r="49" spans="1:23" s="16" customFormat="1" ht="42.75" customHeight="1">
      <c r="A49" s="13"/>
      <c r="B49" s="14" t="s">
        <v>57</v>
      </c>
      <c r="C49" s="15">
        <f>'march 2023'!H49</f>
        <v>44949.972000000016</v>
      </c>
      <c r="D49" s="15">
        <f t="shared" ref="D49:U49" si="20">SUM(D45:D48)</f>
        <v>34.01</v>
      </c>
      <c r="E49" s="15">
        <f t="shared" si="20"/>
        <v>34.01</v>
      </c>
      <c r="F49" s="15">
        <f t="shared" si="20"/>
        <v>0</v>
      </c>
      <c r="G49" s="15">
        <f t="shared" si="20"/>
        <v>0</v>
      </c>
      <c r="H49" s="15">
        <f t="shared" si="20"/>
        <v>44983.982000000011</v>
      </c>
      <c r="I49" s="15">
        <f>'march 2023'!N49</f>
        <v>7.97</v>
      </c>
      <c r="J49" s="15">
        <f t="shared" si="20"/>
        <v>0</v>
      </c>
      <c r="K49" s="15">
        <f t="shared" si="20"/>
        <v>0</v>
      </c>
      <c r="L49" s="15">
        <f t="shared" si="20"/>
        <v>0</v>
      </c>
      <c r="M49" s="15">
        <f t="shared" si="20"/>
        <v>0</v>
      </c>
      <c r="N49" s="15">
        <f t="shared" si="20"/>
        <v>7.97</v>
      </c>
      <c r="O49" s="41">
        <f>'march 2023'!T49</f>
        <v>230.17000000000004</v>
      </c>
      <c r="P49" s="15">
        <f t="shared" si="20"/>
        <v>0</v>
      </c>
      <c r="Q49" s="15">
        <f t="shared" si="20"/>
        <v>0</v>
      </c>
      <c r="R49" s="15">
        <f t="shared" si="20"/>
        <v>0</v>
      </c>
      <c r="S49" s="15">
        <f t="shared" si="20"/>
        <v>0</v>
      </c>
      <c r="T49" s="15">
        <f t="shared" si="20"/>
        <v>230.17000000000004</v>
      </c>
      <c r="U49" s="15">
        <f t="shared" si="20"/>
        <v>45222.122000000018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'march 2023'!H50</f>
        <v>96111.693000000014</v>
      </c>
      <c r="D50" s="15">
        <f t="shared" ref="D50:U50" si="21">D49+D44</f>
        <v>218.11</v>
      </c>
      <c r="E50" s="15">
        <f t="shared" si="21"/>
        <v>218.11</v>
      </c>
      <c r="F50" s="15">
        <f t="shared" si="21"/>
        <v>0</v>
      </c>
      <c r="G50" s="15">
        <f t="shared" si="21"/>
        <v>0</v>
      </c>
      <c r="H50" s="15">
        <f t="shared" si="21"/>
        <v>96329.803000000014</v>
      </c>
      <c r="I50" s="15">
        <f>'march 2023'!N50</f>
        <v>234.77</v>
      </c>
      <c r="J50" s="15">
        <f t="shared" si="21"/>
        <v>0</v>
      </c>
      <c r="K50" s="15">
        <f t="shared" si="21"/>
        <v>0</v>
      </c>
      <c r="L50" s="15">
        <f t="shared" si="21"/>
        <v>0</v>
      </c>
      <c r="M50" s="15">
        <f t="shared" si="21"/>
        <v>0</v>
      </c>
      <c r="N50" s="15">
        <f t="shared" si="21"/>
        <v>234.77</v>
      </c>
      <c r="O50" s="41">
        <f>'march 2023'!T50</f>
        <v>579.73000000000013</v>
      </c>
      <c r="P50" s="15">
        <f t="shared" si="21"/>
        <v>0</v>
      </c>
      <c r="Q50" s="15">
        <f t="shared" si="21"/>
        <v>0</v>
      </c>
      <c r="R50" s="15">
        <f t="shared" si="21"/>
        <v>0</v>
      </c>
      <c r="S50" s="15">
        <f t="shared" si="21"/>
        <v>0</v>
      </c>
      <c r="T50" s="15">
        <f t="shared" si="21"/>
        <v>579.73000000000013</v>
      </c>
      <c r="U50" s="15">
        <f t="shared" si="21"/>
        <v>97144.303000000029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'march 2023'!H51</f>
        <v>172742.28600000002</v>
      </c>
      <c r="D51" s="15">
        <f t="shared" ref="D51:U51" si="22">D50+D39+D25</f>
        <v>1068.143</v>
      </c>
      <c r="E51" s="15">
        <f t="shared" si="22"/>
        <v>1068.143</v>
      </c>
      <c r="F51" s="15">
        <f t="shared" si="22"/>
        <v>0.54</v>
      </c>
      <c r="G51" s="15">
        <f t="shared" si="22"/>
        <v>0.54</v>
      </c>
      <c r="H51" s="37">
        <f t="shared" si="22"/>
        <v>173809.889</v>
      </c>
      <c r="I51" s="15">
        <f>'march 2023'!N51</f>
        <v>2816.1390000000001</v>
      </c>
      <c r="J51" s="15">
        <f t="shared" si="22"/>
        <v>26.874000000000002</v>
      </c>
      <c r="K51" s="15">
        <f t="shared" si="22"/>
        <v>26.874000000000002</v>
      </c>
      <c r="L51" s="15">
        <f t="shared" si="22"/>
        <v>0.04</v>
      </c>
      <c r="M51" s="15">
        <f t="shared" si="22"/>
        <v>0.04</v>
      </c>
      <c r="N51" s="37">
        <f t="shared" si="22"/>
        <v>2842.9730000000004</v>
      </c>
      <c r="O51" s="41">
        <f>'march 2023'!T51</f>
        <v>9317.9740000000002</v>
      </c>
      <c r="P51" s="15">
        <f t="shared" si="22"/>
        <v>307.82600000000002</v>
      </c>
      <c r="Q51" s="15">
        <f t="shared" si="22"/>
        <v>307.82600000000002</v>
      </c>
      <c r="R51" s="15">
        <f t="shared" si="22"/>
        <v>0</v>
      </c>
      <c r="S51" s="15">
        <f t="shared" si="22"/>
        <v>0</v>
      </c>
      <c r="T51" s="37">
        <f t="shared" si="22"/>
        <v>9625.7999999999993</v>
      </c>
      <c r="U51" s="15">
        <f t="shared" si="22"/>
        <v>186278.66200000001</v>
      </c>
      <c r="V51" s="40"/>
      <c r="W51" s="40"/>
    </row>
    <row r="52" spans="1:23" s="21" customFormat="1" ht="42.75" hidden="1" customHeight="1">
      <c r="A52" s="18"/>
      <c r="B52" s="19"/>
      <c r="C52" s="9">
        <f>'[2]Feb 2023'!H52</f>
        <v>0</v>
      </c>
      <c r="D52" s="20"/>
      <c r="E52" s="9">
        <f t="shared" si="0"/>
        <v>0</v>
      </c>
      <c r="F52" s="20"/>
      <c r="G52" s="9">
        <f t="shared" si="1"/>
        <v>0</v>
      </c>
      <c r="H52" s="9">
        <f t="shared" si="2"/>
        <v>0</v>
      </c>
      <c r="I52" s="9">
        <f>'march 2023'!N52</f>
        <v>0</v>
      </c>
      <c r="J52" s="20"/>
      <c r="K52" s="9">
        <f t="shared" si="3"/>
        <v>0</v>
      </c>
      <c r="L52" s="20"/>
      <c r="M52" s="9"/>
      <c r="N52" s="20"/>
      <c r="O52" s="20"/>
      <c r="P52" s="20"/>
      <c r="Q52" s="9">
        <f t="shared" si="6"/>
        <v>0</v>
      </c>
      <c r="R52" s="20"/>
      <c r="S52" s="9">
        <f t="shared" si="7"/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'[2]Feb 2023'!H53</f>
        <v>0</v>
      </c>
      <c r="D53" s="20"/>
      <c r="E53" s="9">
        <f t="shared" si="0"/>
        <v>0</v>
      </c>
      <c r="F53" s="20"/>
      <c r="G53" s="9">
        <f t="shared" si="1"/>
        <v>0</v>
      </c>
      <c r="H53" s="9">
        <f t="shared" si="2"/>
        <v>0</v>
      </c>
      <c r="I53" s="9">
        <f>'march 2023'!N53</f>
        <v>0</v>
      </c>
      <c r="J53" s="20"/>
      <c r="K53" s="9">
        <f t="shared" si="3"/>
        <v>0</v>
      </c>
      <c r="L53" s="20"/>
      <c r="M53" s="9"/>
      <c r="N53" s="20"/>
      <c r="O53" s="20"/>
      <c r="P53" s="22"/>
      <c r="Q53" s="9">
        <f t="shared" si="6"/>
        <v>0</v>
      </c>
      <c r="R53" s="20"/>
      <c r="S53" s="9">
        <f t="shared" si="7"/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24"/>
      <c r="L54" s="20"/>
      <c r="M54" s="22"/>
      <c r="N54" s="20"/>
      <c r="O54" s="20"/>
      <c r="P54" s="22"/>
      <c r="Q54" s="24"/>
      <c r="R54" s="20"/>
      <c r="S54" s="22"/>
      <c r="T54" s="23"/>
      <c r="U54" s="20"/>
      <c r="V54" s="20"/>
      <c r="W54" s="20"/>
    </row>
    <row r="55" spans="1:23" s="43" customFormat="1" ht="30">
      <c r="A55" s="76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1402.2630000000001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1402.2630000000001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186278.66199999998</v>
      </c>
      <c r="I58" s="30"/>
      <c r="J58" s="30"/>
      <c r="K58" s="30"/>
      <c r="L58" s="31"/>
      <c r="M58" s="31"/>
      <c r="N58" s="32" t="e">
        <f>#REF!+'April 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#REF!+'April 2023'!H56</f>
        <v>#REF!</v>
      </c>
      <c r="K59" s="30"/>
      <c r="L59" s="35" t="e">
        <f>#REF!+'April 2023'!H56</f>
        <v>#REF!</v>
      </c>
      <c r="M59" s="30"/>
      <c r="O59" s="11"/>
    </row>
    <row r="61" spans="1:23">
      <c r="B61" s="2"/>
      <c r="G61" s="36"/>
      <c r="O61" s="2"/>
      <c r="U61" s="2"/>
      <c r="V61" s="2"/>
      <c r="W61" s="2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D56:G56"/>
    <mergeCell ref="D57:G57"/>
    <mergeCell ref="D58:G58"/>
    <mergeCell ref="P5:Q5"/>
    <mergeCell ref="R5:S5"/>
    <mergeCell ref="A55:K5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59"/>
  <sheetViews>
    <sheetView topLeftCell="A40" zoomScale="38" zoomScaleNormal="38" zoomScaleSheetLayoutView="25" workbookViewId="0">
      <selection activeCell="A55" sqref="A55:XFD55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'April 2023'!H7</f>
        <v>83.970000000000653</v>
      </c>
      <c r="D7" s="9">
        <v>0</v>
      </c>
      <c r="E7" s="9">
        <f>'April 2023'!E7+'May 2023'!D7</f>
        <v>0</v>
      </c>
      <c r="F7" s="9">
        <v>0</v>
      </c>
      <c r="G7" s="9">
        <f>'April 2023'!G7+'May 2023'!F7</f>
        <v>0</v>
      </c>
      <c r="H7" s="9">
        <f>C7+D7-F7</f>
        <v>83.970000000000653</v>
      </c>
      <c r="I7" s="9">
        <v>175.44599999999994</v>
      </c>
      <c r="J7" s="9">
        <v>0.24</v>
      </c>
      <c r="K7" s="9">
        <f>'April 2023'!K7+'May 2023'!J7</f>
        <v>0.81499999999999995</v>
      </c>
      <c r="L7" s="9">
        <v>0</v>
      </c>
      <c r="M7" s="9">
        <f>'April 2023'!M7+'May 2023'!L7</f>
        <v>0</v>
      </c>
      <c r="N7" s="9">
        <f>I7+J7-L7</f>
        <v>175.68599999999995</v>
      </c>
      <c r="O7" s="10">
        <f>'April 2023'!T7</f>
        <v>284.1400000000001</v>
      </c>
      <c r="P7" s="9">
        <v>0</v>
      </c>
      <c r="Q7" s="9">
        <f>'April 2023'!Q7+'May 2023'!P7</f>
        <v>0</v>
      </c>
      <c r="R7" s="9">
        <v>0</v>
      </c>
      <c r="S7" s="9">
        <f>'April 2023'!S7+'May 2023'!R7</f>
        <v>0</v>
      </c>
      <c r="T7" s="10">
        <f>O7+P7-R7</f>
        <v>284.1400000000001</v>
      </c>
      <c r="U7" s="10">
        <f>H7+N7+T7</f>
        <v>543.79600000000073</v>
      </c>
      <c r="V7" s="11"/>
      <c r="W7" s="11"/>
    </row>
    <row r="8" spans="1:183" ht="42.75" customHeight="1">
      <c r="A8" s="7">
        <v>2</v>
      </c>
      <c r="B8" s="8" t="s">
        <v>15</v>
      </c>
      <c r="C8" s="9">
        <f>'April 2023'!H8</f>
        <v>497.61499999999984</v>
      </c>
      <c r="D8" s="9">
        <v>0.36</v>
      </c>
      <c r="E8" s="9">
        <f>'April 2023'!E8+'May 2023'!D8</f>
        <v>0.36</v>
      </c>
      <c r="F8" s="9">
        <v>0</v>
      </c>
      <c r="G8" s="9">
        <f>'April 2023'!G8+'May 2023'!F8</f>
        <v>0</v>
      </c>
      <c r="H8" s="9">
        <f t="shared" ref="H8:H53" si="0">C8+D8-F8</f>
        <v>497.97499999999985</v>
      </c>
      <c r="I8" s="9">
        <v>143.93600000000001</v>
      </c>
      <c r="J8" s="9">
        <v>2.16</v>
      </c>
      <c r="K8" s="9">
        <f>'April 2023'!K8+'May 2023'!J8</f>
        <v>3.1900000000000004</v>
      </c>
      <c r="L8" s="9">
        <v>0</v>
      </c>
      <c r="M8" s="9">
        <f>'April 2023'!M8+'May 2023'!L8</f>
        <v>0</v>
      </c>
      <c r="N8" s="9">
        <f t="shared" ref="N8:N48" si="1">I8+J8-L8</f>
        <v>146.096</v>
      </c>
      <c r="O8" s="10">
        <f>'April 2023'!T8</f>
        <v>222.27000000000004</v>
      </c>
      <c r="P8" s="9">
        <v>0</v>
      </c>
      <c r="Q8" s="9">
        <f>'April 2023'!Q8+'May 2023'!P8</f>
        <v>0</v>
      </c>
      <c r="R8" s="9">
        <v>0</v>
      </c>
      <c r="S8" s="9">
        <f>'April 2023'!S8+'May 2023'!R8</f>
        <v>0</v>
      </c>
      <c r="T8" s="10">
        <f t="shared" ref="T8:T48" si="2">O8+P8-R8</f>
        <v>222.27000000000004</v>
      </c>
      <c r="U8" s="10">
        <f t="shared" ref="U8:U48" si="3">H8+N8+T8</f>
        <v>866.34099999999989</v>
      </c>
      <c r="V8" s="11"/>
      <c r="W8" s="11"/>
    </row>
    <row r="9" spans="1:183" ht="42.75" customHeight="1">
      <c r="A9" s="7">
        <v>3</v>
      </c>
      <c r="B9" s="8" t="s">
        <v>16</v>
      </c>
      <c r="C9" s="9">
        <f>'April 2023'!H9</f>
        <v>653.9599999999997</v>
      </c>
      <c r="D9" s="9">
        <v>0</v>
      </c>
      <c r="E9" s="9">
        <f>'April 2023'!E9+'May 2023'!D9</f>
        <v>0</v>
      </c>
      <c r="F9" s="9">
        <v>0</v>
      </c>
      <c r="G9" s="9">
        <f>'April 2023'!G9+'May 2023'!F9</f>
        <v>0</v>
      </c>
      <c r="H9" s="9">
        <f t="shared" si="0"/>
        <v>653.9599999999997</v>
      </c>
      <c r="I9" s="9">
        <v>219.37</v>
      </c>
      <c r="J9" s="9">
        <v>1.3720000000000001</v>
      </c>
      <c r="K9" s="9">
        <f>'April 2023'!K9+'May 2023'!J9</f>
        <v>5.2359999999999998</v>
      </c>
      <c r="L9" s="9">
        <v>0</v>
      </c>
      <c r="M9" s="9">
        <f>'April 2023'!M9+'May 2023'!L9</f>
        <v>0</v>
      </c>
      <c r="N9" s="9">
        <f t="shared" si="1"/>
        <v>220.74200000000002</v>
      </c>
      <c r="O9" s="10">
        <f>'April 2023'!T9</f>
        <v>304.39</v>
      </c>
      <c r="P9" s="9">
        <f>54.47+37.8</f>
        <v>92.27</v>
      </c>
      <c r="Q9" s="9">
        <f>'April 2023'!Q9+'May 2023'!P9</f>
        <v>130.07</v>
      </c>
      <c r="R9" s="9">
        <v>0</v>
      </c>
      <c r="S9" s="9">
        <f>'April 2023'!S9+'May 2023'!R9</f>
        <v>0</v>
      </c>
      <c r="T9" s="10">
        <f t="shared" si="2"/>
        <v>396.65999999999997</v>
      </c>
      <c r="U9" s="10">
        <f t="shared" si="3"/>
        <v>1271.3619999999996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'April 2023'!H10</f>
        <v>0</v>
      </c>
      <c r="D10" s="9">
        <v>0</v>
      </c>
      <c r="E10" s="9">
        <f>'April 2023'!E10+'May 2023'!D10</f>
        <v>0</v>
      </c>
      <c r="F10" s="9">
        <v>0</v>
      </c>
      <c r="G10" s="9">
        <f>'April 2023'!G10+'May 2023'!F10</f>
        <v>0</v>
      </c>
      <c r="H10" s="9">
        <f t="shared" si="0"/>
        <v>0</v>
      </c>
      <c r="I10" s="9">
        <v>147.42000000000007</v>
      </c>
      <c r="J10" s="9">
        <v>0.09</v>
      </c>
      <c r="K10" s="9">
        <f>'April 2023'!K10+'May 2023'!J10</f>
        <v>0.28500000000000003</v>
      </c>
      <c r="L10" s="9">
        <v>0</v>
      </c>
      <c r="M10" s="9">
        <f>'April 2023'!M10+'May 2023'!L10</f>
        <v>0</v>
      </c>
      <c r="N10" s="9">
        <f t="shared" si="1"/>
        <v>147.51000000000008</v>
      </c>
      <c r="O10" s="10">
        <f>'April 2023'!T10</f>
        <v>234.27999999999997</v>
      </c>
      <c r="P10" s="9">
        <v>0</v>
      </c>
      <c r="Q10" s="9">
        <f>'April 2023'!Q10+'May 2023'!P10</f>
        <v>0</v>
      </c>
      <c r="R10" s="9">
        <v>0</v>
      </c>
      <c r="S10" s="9">
        <f>'April 2023'!S10+'May 2023'!R10</f>
        <v>0</v>
      </c>
      <c r="T10" s="10">
        <f t="shared" si="2"/>
        <v>234.27999999999997</v>
      </c>
      <c r="U10" s="10">
        <f t="shared" si="3"/>
        <v>381.79000000000008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'April 2023'!H11</f>
        <v>1235.5450000000001</v>
      </c>
      <c r="D11" s="15">
        <f t="shared" ref="D11:U11" si="4">SUM(D7:D10)</f>
        <v>0.36</v>
      </c>
      <c r="E11" s="15">
        <f t="shared" si="4"/>
        <v>0.36</v>
      </c>
      <c r="F11" s="15">
        <f t="shared" si="4"/>
        <v>0</v>
      </c>
      <c r="G11" s="15">
        <f t="shared" si="4"/>
        <v>0</v>
      </c>
      <c r="H11" s="15">
        <f t="shared" si="4"/>
        <v>1235.9050000000002</v>
      </c>
      <c r="I11" s="15">
        <f t="shared" si="4"/>
        <v>686.17200000000003</v>
      </c>
      <c r="J11" s="15">
        <f t="shared" si="4"/>
        <v>3.8620000000000001</v>
      </c>
      <c r="K11" s="15">
        <f t="shared" si="4"/>
        <v>9.5259999999999998</v>
      </c>
      <c r="L11" s="15">
        <f t="shared" si="4"/>
        <v>0</v>
      </c>
      <c r="M11" s="15">
        <f t="shared" si="4"/>
        <v>0</v>
      </c>
      <c r="N11" s="15">
        <f t="shared" si="4"/>
        <v>690.03399999999999</v>
      </c>
      <c r="O11" s="41">
        <f>'April 2023'!T11</f>
        <v>1045.0800000000002</v>
      </c>
      <c r="P11" s="15">
        <f t="shared" si="4"/>
        <v>92.27</v>
      </c>
      <c r="Q11" s="15">
        <f t="shared" si="4"/>
        <v>130.07</v>
      </c>
      <c r="R11" s="15">
        <f t="shared" si="4"/>
        <v>0</v>
      </c>
      <c r="S11" s="15">
        <f t="shared" si="4"/>
        <v>0</v>
      </c>
      <c r="T11" s="15">
        <f t="shared" si="4"/>
        <v>1137.3500000000001</v>
      </c>
      <c r="U11" s="15">
        <f t="shared" si="4"/>
        <v>3063.2890000000002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'April 2023'!H12</f>
        <v>218.88999999999885</v>
      </c>
      <c r="D12" s="9">
        <v>0</v>
      </c>
      <c r="E12" s="9">
        <f>'April 2023'!E12+'May 2023'!D12</f>
        <v>0</v>
      </c>
      <c r="F12" s="9">
        <v>0</v>
      </c>
      <c r="G12" s="9">
        <f>'April 2023'!G12+'May 2023'!F12</f>
        <v>0</v>
      </c>
      <c r="H12" s="9">
        <f t="shared" si="0"/>
        <v>218.88999999999885</v>
      </c>
      <c r="I12" s="9">
        <v>90.093000000000004</v>
      </c>
      <c r="J12" s="9">
        <v>0.49</v>
      </c>
      <c r="K12" s="9">
        <f>'April 2023'!K12+'May 2023'!J12</f>
        <v>0.7</v>
      </c>
      <c r="L12" s="9">
        <v>0</v>
      </c>
      <c r="M12" s="9">
        <f>'April 2023'!M12+'May 2023'!L12</f>
        <v>0</v>
      </c>
      <c r="N12" s="9">
        <f t="shared" si="1"/>
        <v>90.582999999999998</v>
      </c>
      <c r="O12" s="10">
        <f>'April 2023'!T12</f>
        <v>1548.3</v>
      </c>
      <c r="P12" s="9">
        <v>0</v>
      </c>
      <c r="Q12" s="9">
        <f>'April 2023'!Q12+'May 2023'!P12</f>
        <v>0.28000000000000003</v>
      </c>
      <c r="R12" s="9">
        <v>0</v>
      </c>
      <c r="S12" s="9">
        <f>'April 2023'!S12+'May 2023'!R12</f>
        <v>0</v>
      </c>
      <c r="T12" s="10">
        <f t="shared" si="2"/>
        <v>1548.3</v>
      </c>
      <c r="U12" s="10">
        <f t="shared" si="3"/>
        <v>1857.7729999999988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'April 2023'!H13</f>
        <v>1023.7699999999998</v>
      </c>
      <c r="D13" s="9">
        <v>0</v>
      </c>
      <c r="E13" s="9">
        <f>'April 2023'!E13+'May 2023'!D13</f>
        <v>0</v>
      </c>
      <c r="F13" s="9">
        <v>0</v>
      </c>
      <c r="G13" s="9">
        <f>'April 2023'!G13+'May 2023'!F13</f>
        <v>0</v>
      </c>
      <c r="H13" s="9">
        <f t="shared" si="0"/>
        <v>1023.7699999999998</v>
      </c>
      <c r="I13" s="9">
        <v>158.62400000000008</v>
      </c>
      <c r="J13" s="9">
        <v>0.91</v>
      </c>
      <c r="K13" s="9">
        <f>'April 2023'!K13+'May 2023'!J13</f>
        <v>1.87</v>
      </c>
      <c r="L13" s="9">
        <v>0</v>
      </c>
      <c r="M13" s="9">
        <f>'April 2023'!M13+'May 2023'!L13</f>
        <v>0</v>
      </c>
      <c r="N13" s="9">
        <f t="shared" si="1"/>
        <v>159.53400000000008</v>
      </c>
      <c r="O13" s="10">
        <f>'April 2023'!T13</f>
        <v>87.2</v>
      </c>
      <c r="P13" s="9">
        <v>0</v>
      </c>
      <c r="Q13" s="9">
        <f>'April 2023'!Q13+'May 2023'!P13</f>
        <v>0</v>
      </c>
      <c r="R13" s="9">
        <v>0</v>
      </c>
      <c r="S13" s="9">
        <f>'April 2023'!S13+'May 2023'!R13</f>
        <v>0</v>
      </c>
      <c r="T13" s="10">
        <f t="shared" si="2"/>
        <v>87.2</v>
      </c>
      <c r="U13" s="10">
        <f t="shared" si="3"/>
        <v>1270.5039999999999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'April 2023'!H14</f>
        <v>2084.0799999999995</v>
      </c>
      <c r="D14" s="9">
        <v>0</v>
      </c>
      <c r="E14" s="9">
        <f>'April 2023'!E14+'May 2023'!D14</f>
        <v>0</v>
      </c>
      <c r="F14" s="9">
        <v>0</v>
      </c>
      <c r="G14" s="9">
        <f>'April 2023'!G14+'May 2023'!F14</f>
        <v>0.5</v>
      </c>
      <c r="H14" s="9">
        <f t="shared" si="0"/>
        <v>2084.0799999999995</v>
      </c>
      <c r="I14" s="9">
        <v>211.214</v>
      </c>
      <c r="J14" s="9">
        <v>0.37</v>
      </c>
      <c r="K14" s="9">
        <f>'April 2023'!K14+'May 2023'!J14</f>
        <v>2.4500000000000002</v>
      </c>
      <c r="L14" s="9">
        <v>0</v>
      </c>
      <c r="M14" s="9">
        <f>'April 2023'!M14+'May 2023'!L14</f>
        <v>0</v>
      </c>
      <c r="N14" s="9">
        <f t="shared" si="1"/>
        <v>211.584</v>
      </c>
      <c r="O14" s="10">
        <f>'April 2023'!T14</f>
        <v>403.66999999999996</v>
      </c>
      <c r="P14" s="9">
        <v>0.12</v>
      </c>
      <c r="Q14" s="9">
        <f>'April 2023'!Q14+'May 2023'!P14</f>
        <v>0.21</v>
      </c>
      <c r="R14" s="9">
        <v>0</v>
      </c>
      <c r="S14" s="9">
        <f>'April 2023'!S14+'May 2023'!R14</f>
        <v>0</v>
      </c>
      <c r="T14" s="10">
        <f t="shared" si="2"/>
        <v>403.78999999999996</v>
      </c>
      <c r="U14" s="10">
        <f t="shared" si="3"/>
        <v>2699.4539999999993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'April 2023'!H15</f>
        <v>3326.739999999998</v>
      </c>
      <c r="D15" s="15">
        <f t="shared" ref="D15:U15" si="5">SUM(D12:D14)</f>
        <v>0</v>
      </c>
      <c r="E15" s="15">
        <f t="shared" si="5"/>
        <v>0</v>
      </c>
      <c r="F15" s="15">
        <f t="shared" si="5"/>
        <v>0</v>
      </c>
      <c r="G15" s="15">
        <f t="shared" si="5"/>
        <v>0.5</v>
      </c>
      <c r="H15" s="15">
        <f t="shared" si="5"/>
        <v>3326.739999999998</v>
      </c>
      <c r="I15" s="15">
        <f t="shared" si="5"/>
        <v>459.9310000000001</v>
      </c>
      <c r="J15" s="15">
        <f t="shared" si="5"/>
        <v>1.77</v>
      </c>
      <c r="K15" s="15">
        <f t="shared" si="5"/>
        <v>5.0200000000000005</v>
      </c>
      <c r="L15" s="15">
        <f t="shared" si="5"/>
        <v>0</v>
      </c>
      <c r="M15" s="15">
        <f t="shared" si="5"/>
        <v>0</v>
      </c>
      <c r="N15" s="15">
        <f t="shared" si="5"/>
        <v>461.70100000000008</v>
      </c>
      <c r="O15" s="41">
        <f>'April 2023'!T15</f>
        <v>2039.17</v>
      </c>
      <c r="P15" s="15">
        <f t="shared" si="5"/>
        <v>0.12</v>
      </c>
      <c r="Q15" s="15">
        <f t="shared" si="5"/>
        <v>0.49</v>
      </c>
      <c r="R15" s="15">
        <f t="shared" si="5"/>
        <v>0</v>
      </c>
      <c r="S15" s="15">
        <f t="shared" si="5"/>
        <v>0</v>
      </c>
      <c r="T15" s="15">
        <f t="shared" si="5"/>
        <v>2039.29</v>
      </c>
      <c r="U15" s="15">
        <f t="shared" si="5"/>
        <v>5827.7309999999979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'April 2023'!H16</f>
        <v>1308.7719999999993</v>
      </c>
      <c r="D16" s="9">
        <v>1.93</v>
      </c>
      <c r="E16" s="9">
        <f>'April 2023'!E16+'May 2023'!D16</f>
        <v>3.37</v>
      </c>
      <c r="F16" s="9">
        <v>0</v>
      </c>
      <c r="G16" s="9">
        <f>'April 2023'!G16+'May 2023'!F16</f>
        <v>0</v>
      </c>
      <c r="H16" s="9">
        <f t="shared" si="0"/>
        <v>1310.7019999999993</v>
      </c>
      <c r="I16" s="9">
        <v>114.01000000000005</v>
      </c>
      <c r="J16" s="9">
        <v>0.12</v>
      </c>
      <c r="K16" s="9">
        <f>'April 2023'!K16+'May 2023'!J16</f>
        <v>0.16</v>
      </c>
      <c r="L16" s="9">
        <v>0</v>
      </c>
      <c r="M16" s="9">
        <f>'April 2023'!M16+'May 2023'!L16</f>
        <v>0</v>
      </c>
      <c r="N16" s="9">
        <f t="shared" si="1"/>
        <v>114.13000000000005</v>
      </c>
      <c r="O16" s="10">
        <f>'April 2023'!T16</f>
        <v>960.62900000000013</v>
      </c>
      <c r="P16" s="9">
        <v>1.83</v>
      </c>
      <c r="Q16" s="9">
        <f>'April 2023'!Q16+'May 2023'!P16</f>
        <v>87.21</v>
      </c>
      <c r="R16" s="9">
        <v>0</v>
      </c>
      <c r="S16" s="9">
        <f>'April 2023'!S16+'May 2023'!R16</f>
        <v>0</v>
      </c>
      <c r="T16" s="10">
        <f t="shared" si="2"/>
        <v>962.45900000000017</v>
      </c>
      <c r="U16" s="10">
        <f t="shared" si="3"/>
        <v>2387.2909999999997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'April 2023'!H17</f>
        <v>239.35399999999987</v>
      </c>
      <c r="D17" s="9">
        <v>0</v>
      </c>
      <c r="E17" s="9">
        <f>'April 2023'!E17+'May 2023'!D17</f>
        <v>0</v>
      </c>
      <c r="F17" s="9">
        <v>2.7</v>
      </c>
      <c r="G17" s="9">
        <f>'April 2023'!G17+'May 2023'!F17</f>
        <v>2.7</v>
      </c>
      <c r="H17" s="9">
        <f t="shared" si="0"/>
        <v>236.65399999999988</v>
      </c>
      <c r="I17" s="9">
        <v>29.726999999999993</v>
      </c>
      <c r="J17" s="9">
        <v>0.31</v>
      </c>
      <c r="K17" s="9">
        <f>'April 2023'!K17+'May 2023'!J17</f>
        <v>0.33999999999999997</v>
      </c>
      <c r="L17" s="9">
        <v>0</v>
      </c>
      <c r="M17" s="9">
        <f>'April 2023'!M17+'May 2023'!L17</f>
        <v>0</v>
      </c>
      <c r="N17" s="9">
        <f t="shared" si="1"/>
        <v>30.036999999999992</v>
      </c>
      <c r="O17" s="10">
        <f>'April 2023'!T17</f>
        <v>497.94100000000003</v>
      </c>
      <c r="P17" s="9">
        <v>3.96</v>
      </c>
      <c r="Q17" s="9">
        <f>'April 2023'!Q17+'May 2023'!P17</f>
        <v>87.36</v>
      </c>
      <c r="R17" s="9">
        <v>0</v>
      </c>
      <c r="S17" s="9">
        <f>'April 2023'!S17+'May 2023'!R17</f>
        <v>0</v>
      </c>
      <c r="T17" s="10">
        <f t="shared" si="2"/>
        <v>501.90100000000001</v>
      </c>
      <c r="U17" s="10">
        <f t="shared" si="3"/>
        <v>768.59199999999987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'April 2023'!H18</f>
        <v>478.13499999999931</v>
      </c>
      <c r="D18" s="9">
        <v>0</v>
      </c>
      <c r="E18" s="9">
        <f>'April 2023'!E18+'May 2023'!D18</f>
        <v>0</v>
      </c>
      <c r="F18" s="9">
        <v>0</v>
      </c>
      <c r="G18" s="9">
        <f>'April 2023'!G18+'May 2023'!F18</f>
        <v>0</v>
      </c>
      <c r="H18" s="9">
        <f t="shared" si="0"/>
        <v>478.13499999999931</v>
      </c>
      <c r="I18" s="9">
        <v>15.12999999999999</v>
      </c>
      <c r="J18" s="9">
        <f>0.11</f>
        <v>0.11</v>
      </c>
      <c r="K18" s="9">
        <f>'April 2023'!K18+'May 2023'!J18</f>
        <v>0.14000000000000001</v>
      </c>
      <c r="L18" s="9">
        <v>0.08</v>
      </c>
      <c r="M18" s="9">
        <f>'April 2023'!M18+'May 2023'!L18</f>
        <v>0.12</v>
      </c>
      <c r="N18" s="9">
        <f t="shared" si="1"/>
        <v>15.159999999999989</v>
      </c>
      <c r="O18" s="10">
        <f>'April 2023'!T18</f>
        <v>480.89799999999997</v>
      </c>
      <c r="P18" s="9">
        <v>0</v>
      </c>
      <c r="Q18" s="9">
        <f>'April 2023'!Q18+'May 2023'!P18</f>
        <v>0.06</v>
      </c>
      <c r="R18" s="9">
        <v>0</v>
      </c>
      <c r="S18" s="9">
        <f>'April 2023'!S18+'May 2023'!R18</f>
        <v>0</v>
      </c>
      <c r="T18" s="10">
        <f t="shared" si="2"/>
        <v>480.89799999999997</v>
      </c>
      <c r="U18" s="10">
        <f t="shared" si="3"/>
        <v>974.1929999999993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'April 2023'!H19</f>
        <v>2026.2609999999984</v>
      </c>
      <c r="D19" s="15">
        <f t="shared" ref="D19:U19" si="6">SUM(D16:D18)</f>
        <v>1.93</v>
      </c>
      <c r="E19" s="15">
        <f t="shared" si="6"/>
        <v>3.37</v>
      </c>
      <c r="F19" s="15">
        <f t="shared" si="6"/>
        <v>2.7</v>
      </c>
      <c r="G19" s="15">
        <f t="shared" si="6"/>
        <v>2.7</v>
      </c>
      <c r="H19" s="15">
        <f t="shared" si="6"/>
        <v>2025.4909999999986</v>
      </c>
      <c r="I19" s="15">
        <f t="shared" si="6"/>
        <v>158.86700000000005</v>
      </c>
      <c r="J19" s="15">
        <f t="shared" si="6"/>
        <v>0.54</v>
      </c>
      <c r="K19" s="15">
        <f t="shared" si="6"/>
        <v>0.64</v>
      </c>
      <c r="L19" s="15">
        <f t="shared" si="6"/>
        <v>0.08</v>
      </c>
      <c r="M19" s="15">
        <f t="shared" si="6"/>
        <v>0.12</v>
      </c>
      <c r="N19" s="15">
        <f t="shared" si="6"/>
        <v>159.32700000000003</v>
      </c>
      <c r="O19" s="41">
        <f>'April 2023'!T19</f>
        <v>1939.4680000000001</v>
      </c>
      <c r="P19" s="15">
        <f t="shared" si="6"/>
        <v>5.79</v>
      </c>
      <c r="Q19" s="15">
        <f t="shared" si="6"/>
        <v>174.63</v>
      </c>
      <c r="R19" s="15">
        <f t="shared" si="6"/>
        <v>0</v>
      </c>
      <c r="S19" s="15">
        <f t="shared" si="6"/>
        <v>0</v>
      </c>
      <c r="T19" s="15">
        <f t="shared" si="6"/>
        <v>1945.258</v>
      </c>
      <c r="U19" s="15">
        <f t="shared" si="6"/>
        <v>4130.0759999999991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'April 2023'!H20</f>
        <v>1024.4549999999992</v>
      </c>
      <c r="D20" s="9">
        <v>0</v>
      </c>
      <c r="E20" s="9">
        <f>'April 2023'!E20+'May 2023'!D20</f>
        <v>0</v>
      </c>
      <c r="F20" s="9">
        <v>0</v>
      </c>
      <c r="G20" s="9">
        <f>'April 2023'!G20+'May 2023'!F20</f>
        <v>0</v>
      </c>
      <c r="H20" s="9">
        <f t="shared" si="0"/>
        <v>1024.4549999999992</v>
      </c>
      <c r="I20" s="9">
        <v>155.3310000000001</v>
      </c>
      <c r="J20" s="9">
        <v>0.57999999999999996</v>
      </c>
      <c r="K20" s="9">
        <f>'April 2023'!K20+'May 2023'!J20</f>
        <v>0.66999999999999993</v>
      </c>
      <c r="L20" s="9">
        <v>0</v>
      </c>
      <c r="M20" s="9">
        <f>'April 2023'!M20+'May 2023'!L20</f>
        <v>0</v>
      </c>
      <c r="N20" s="9">
        <f t="shared" si="1"/>
        <v>155.91100000000012</v>
      </c>
      <c r="O20" s="10">
        <f>'April 2023'!T20</f>
        <v>742.91099999999983</v>
      </c>
      <c r="P20" s="9">
        <v>0.19</v>
      </c>
      <c r="Q20" s="9">
        <f>'April 2023'!Q20+'May 2023'!P20</f>
        <v>0.38</v>
      </c>
      <c r="R20" s="9">
        <v>0</v>
      </c>
      <c r="S20" s="9">
        <f>'April 2023'!S20+'May 2023'!R20</f>
        <v>0</v>
      </c>
      <c r="T20" s="10">
        <f t="shared" si="2"/>
        <v>743.10099999999989</v>
      </c>
      <c r="U20" s="10">
        <f t="shared" si="3"/>
        <v>1923.4669999999992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'April 2023'!H21</f>
        <v>142.68999999999988</v>
      </c>
      <c r="D21" s="9">
        <v>0</v>
      </c>
      <c r="E21" s="9">
        <f>'April 2023'!E21+'May 2023'!D21</f>
        <v>0</v>
      </c>
      <c r="F21" s="9">
        <v>0</v>
      </c>
      <c r="G21" s="9">
        <f>'April 2023'!G21+'May 2023'!F21</f>
        <v>0</v>
      </c>
      <c r="H21" s="9">
        <f t="shared" si="0"/>
        <v>142.68999999999988</v>
      </c>
      <c r="I21" s="9">
        <v>52.983000000000018</v>
      </c>
      <c r="J21" s="9">
        <v>2.12</v>
      </c>
      <c r="K21" s="9">
        <f>'April 2023'!K21+'May 2023'!J21</f>
        <v>2.3200000000000003</v>
      </c>
      <c r="L21" s="9">
        <v>0</v>
      </c>
      <c r="M21" s="9">
        <f>'April 2023'!M21+'May 2023'!L21</f>
        <v>0</v>
      </c>
      <c r="N21" s="9">
        <f t="shared" si="1"/>
        <v>55.103000000000016</v>
      </c>
      <c r="O21" s="10">
        <f>'April 2023'!T21</f>
        <v>310.89999999999998</v>
      </c>
      <c r="P21" s="9">
        <v>0.44</v>
      </c>
      <c r="Q21" s="9">
        <f>'April 2023'!Q21+'May 2023'!P21</f>
        <v>0.44</v>
      </c>
      <c r="R21" s="9">
        <v>0</v>
      </c>
      <c r="S21" s="9">
        <f>'April 2023'!S21+'May 2023'!R21</f>
        <v>0</v>
      </c>
      <c r="T21" s="10">
        <f t="shared" si="2"/>
        <v>311.33999999999997</v>
      </c>
      <c r="U21" s="10">
        <f t="shared" si="3"/>
        <v>509.13299999999987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'April 2023'!H22</f>
        <v>27.069999999999879</v>
      </c>
      <c r="D22" s="9">
        <v>0</v>
      </c>
      <c r="E22" s="9">
        <f>'April 2023'!E22+'May 2023'!D22</f>
        <v>0</v>
      </c>
      <c r="F22" s="9">
        <v>0</v>
      </c>
      <c r="G22" s="9">
        <f>'April 2023'!G22+'May 2023'!F22</f>
        <v>0</v>
      </c>
      <c r="H22" s="9">
        <f t="shared" si="0"/>
        <v>27.069999999999879</v>
      </c>
      <c r="I22" s="9">
        <v>15.940000000000005</v>
      </c>
      <c r="J22" s="9">
        <v>0</v>
      </c>
      <c r="K22" s="9">
        <f>'April 2023'!K22+'May 2023'!J22</f>
        <v>0</v>
      </c>
      <c r="L22" s="9">
        <v>0</v>
      </c>
      <c r="M22" s="9">
        <f>'April 2023'!M22+'May 2023'!L22</f>
        <v>0</v>
      </c>
      <c r="N22" s="9">
        <f t="shared" si="1"/>
        <v>15.940000000000005</v>
      </c>
      <c r="O22" s="10">
        <f>'April 2023'!T22</f>
        <v>776.20999999999981</v>
      </c>
      <c r="P22" s="9">
        <v>0.18</v>
      </c>
      <c r="Q22" s="9">
        <f>'April 2023'!Q22+'May 2023'!P22</f>
        <v>0.36</v>
      </c>
      <c r="R22" s="9">
        <v>0</v>
      </c>
      <c r="S22" s="9">
        <f>'April 2023'!S22+'May 2023'!R22</f>
        <v>0</v>
      </c>
      <c r="T22" s="10">
        <f t="shared" si="2"/>
        <v>776.38999999999976</v>
      </c>
      <c r="U22" s="10">
        <f t="shared" si="3"/>
        <v>819.39999999999964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'April 2023'!H23</f>
        <v>1134.0719999999997</v>
      </c>
      <c r="D23" s="9">
        <v>2.9</v>
      </c>
      <c r="E23" s="9">
        <f>'April 2023'!E23+'May 2023'!D23</f>
        <v>3.77</v>
      </c>
      <c r="F23" s="9">
        <v>0</v>
      </c>
      <c r="G23" s="9">
        <f>'April 2023'!G23+'May 2023'!F23</f>
        <v>0</v>
      </c>
      <c r="H23" s="9">
        <f t="shared" si="0"/>
        <v>1136.9719999999998</v>
      </c>
      <c r="I23" s="9">
        <v>50.493999999999993</v>
      </c>
      <c r="J23" s="9">
        <v>0.73</v>
      </c>
      <c r="K23" s="9">
        <f>'April 2023'!K23+'May 2023'!J23</f>
        <v>1.02</v>
      </c>
      <c r="L23" s="9">
        <v>0</v>
      </c>
      <c r="M23" s="9">
        <f>'April 2023'!M23+'May 2023'!L23</f>
        <v>0</v>
      </c>
      <c r="N23" s="9">
        <f t="shared" si="1"/>
        <v>51.22399999999999</v>
      </c>
      <c r="O23" s="10">
        <f>'April 2023'!T23</f>
        <v>405.065</v>
      </c>
      <c r="P23" s="9">
        <v>0.5</v>
      </c>
      <c r="Q23" s="9">
        <f>'April 2023'!Q23+'May 2023'!P23</f>
        <v>0.73</v>
      </c>
      <c r="R23" s="9">
        <v>0</v>
      </c>
      <c r="S23" s="9">
        <f>'April 2023'!S23+'May 2023'!R23</f>
        <v>0</v>
      </c>
      <c r="T23" s="10">
        <f t="shared" si="2"/>
        <v>405.565</v>
      </c>
      <c r="U23" s="10">
        <f t="shared" si="3"/>
        <v>1593.7609999999997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'April 2023'!H24</f>
        <v>2328.2869999999984</v>
      </c>
      <c r="D24" s="15">
        <f t="shared" ref="D24:U24" si="7">SUM(D20:D23)</f>
        <v>2.9</v>
      </c>
      <c r="E24" s="15">
        <f t="shared" si="7"/>
        <v>3.77</v>
      </c>
      <c r="F24" s="15">
        <f t="shared" si="7"/>
        <v>0</v>
      </c>
      <c r="G24" s="15">
        <f t="shared" si="7"/>
        <v>0</v>
      </c>
      <c r="H24" s="15">
        <f t="shared" si="7"/>
        <v>2331.186999999999</v>
      </c>
      <c r="I24" s="15">
        <f t="shared" si="7"/>
        <v>274.7480000000001</v>
      </c>
      <c r="J24" s="15">
        <f t="shared" si="7"/>
        <v>3.43</v>
      </c>
      <c r="K24" s="15">
        <f t="shared" si="7"/>
        <v>4.01</v>
      </c>
      <c r="L24" s="15">
        <f t="shared" si="7"/>
        <v>0</v>
      </c>
      <c r="M24" s="15">
        <f t="shared" si="7"/>
        <v>0</v>
      </c>
      <c r="N24" s="15">
        <f t="shared" si="7"/>
        <v>278.17800000000011</v>
      </c>
      <c r="O24" s="41">
        <f>'April 2023'!T24</f>
        <v>2235.0859999999993</v>
      </c>
      <c r="P24" s="15">
        <f t="shared" si="7"/>
        <v>1.31</v>
      </c>
      <c r="Q24" s="15">
        <f t="shared" si="7"/>
        <v>1.9100000000000001</v>
      </c>
      <c r="R24" s="15">
        <f t="shared" si="7"/>
        <v>0</v>
      </c>
      <c r="S24" s="15">
        <f t="shared" si="7"/>
        <v>0</v>
      </c>
      <c r="T24" s="15">
        <f t="shared" si="7"/>
        <v>2236.3959999999997</v>
      </c>
      <c r="U24" s="15">
        <f t="shared" si="7"/>
        <v>4845.7609999999986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'April 2023'!H25</f>
        <v>8916.8329999999951</v>
      </c>
      <c r="D25" s="15">
        <f t="shared" ref="D25:U25" si="8">D24+D19+D15+D11</f>
        <v>5.19</v>
      </c>
      <c r="E25" s="15">
        <f t="shared" si="8"/>
        <v>7.5000000000000009</v>
      </c>
      <c r="F25" s="15">
        <f t="shared" si="8"/>
        <v>2.7</v>
      </c>
      <c r="G25" s="15">
        <f t="shared" si="8"/>
        <v>3.2</v>
      </c>
      <c r="H25" s="15">
        <f t="shared" si="8"/>
        <v>8919.3229999999967</v>
      </c>
      <c r="I25" s="15">
        <f t="shared" si="8"/>
        <v>1579.7180000000003</v>
      </c>
      <c r="J25" s="15">
        <f t="shared" si="8"/>
        <v>9.6020000000000003</v>
      </c>
      <c r="K25" s="15">
        <f t="shared" si="8"/>
        <v>19.195999999999998</v>
      </c>
      <c r="L25" s="15">
        <f t="shared" si="8"/>
        <v>0.08</v>
      </c>
      <c r="M25" s="15">
        <f t="shared" si="8"/>
        <v>0.12</v>
      </c>
      <c r="N25" s="15">
        <f t="shared" si="8"/>
        <v>1589.2400000000002</v>
      </c>
      <c r="O25" s="41">
        <f>'April 2023'!T25</f>
        <v>7258.8039999999992</v>
      </c>
      <c r="P25" s="15">
        <f t="shared" si="8"/>
        <v>99.49</v>
      </c>
      <c r="Q25" s="15">
        <f t="shared" si="8"/>
        <v>307.10000000000002</v>
      </c>
      <c r="R25" s="15">
        <f t="shared" si="8"/>
        <v>0</v>
      </c>
      <c r="S25" s="15">
        <f t="shared" si="8"/>
        <v>0</v>
      </c>
      <c r="T25" s="15">
        <f t="shared" si="8"/>
        <v>7358.2939999999999</v>
      </c>
      <c r="U25" s="15">
        <f t="shared" si="8"/>
        <v>17866.856999999996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'April 2023'!H26</f>
        <v>1247.1219999999996</v>
      </c>
      <c r="D26" s="9">
        <v>3.27</v>
      </c>
      <c r="E26" s="9">
        <f>'April 2023'!E26+'May 2023'!D26</f>
        <v>12.41</v>
      </c>
      <c r="F26" s="9">
        <v>0</v>
      </c>
      <c r="G26" s="9">
        <f>'April 2023'!G26+'May 2023'!F26</f>
        <v>0.02</v>
      </c>
      <c r="H26" s="9">
        <f t="shared" si="0"/>
        <v>1250.3919999999996</v>
      </c>
      <c r="I26" s="9">
        <v>0.76</v>
      </c>
      <c r="J26" s="9">
        <v>0</v>
      </c>
      <c r="K26" s="9">
        <f>'April 2023'!K26+'May 2023'!J26</f>
        <v>0.65</v>
      </c>
      <c r="L26" s="9">
        <v>0</v>
      </c>
      <c r="M26" s="9">
        <f>'April 2023'!M26+'May 2023'!L26</f>
        <v>0</v>
      </c>
      <c r="N26" s="9">
        <f t="shared" si="1"/>
        <v>0.76</v>
      </c>
      <c r="O26" s="10">
        <f>'April 2023'!T26</f>
        <v>205.70000000000002</v>
      </c>
      <c r="P26" s="9">
        <v>0</v>
      </c>
      <c r="Q26" s="9">
        <f>'April 2023'!Q26+'May 2023'!P26</f>
        <v>1.97</v>
      </c>
      <c r="R26" s="9">
        <v>0</v>
      </c>
      <c r="S26" s="9">
        <f>'April 2023'!S26+'May 2023'!R26</f>
        <v>0</v>
      </c>
      <c r="T26" s="10">
        <f t="shared" si="2"/>
        <v>205.70000000000002</v>
      </c>
      <c r="U26" s="10">
        <f t="shared" si="3"/>
        <v>1456.8519999999996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'April 2023'!H27</f>
        <v>10418.386999999992</v>
      </c>
      <c r="D27" s="9">
        <v>13.18</v>
      </c>
      <c r="E27" s="9">
        <f>'April 2023'!E27+'May 2023'!D27</f>
        <v>17.41</v>
      </c>
      <c r="F27" s="9">
        <v>0</v>
      </c>
      <c r="G27" s="9">
        <f>'April 2023'!G27+'May 2023'!F27</f>
        <v>0</v>
      </c>
      <c r="H27" s="9">
        <f t="shared" si="0"/>
        <v>10431.566999999992</v>
      </c>
      <c r="I27" s="9">
        <v>408.94499999999999</v>
      </c>
      <c r="J27" s="9">
        <v>0.27</v>
      </c>
      <c r="K27" s="9">
        <f>'April 2023'!K27+'May 2023'!J27</f>
        <v>0.78</v>
      </c>
      <c r="L27" s="9">
        <v>0</v>
      </c>
      <c r="M27" s="9">
        <f>'April 2023'!M27+'May 2023'!L27</f>
        <v>0</v>
      </c>
      <c r="N27" s="9">
        <f t="shared" si="1"/>
        <v>409.21499999999997</v>
      </c>
      <c r="O27" s="10">
        <f>'April 2023'!T27</f>
        <v>43.740000000000016</v>
      </c>
      <c r="P27" s="9">
        <v>0.1</v>
      </c>
      <c r="Q27" s="9">
        <f>'April 2023'!Q27+'May 2023'!P27</f>
        <v>0.32</v>
      </c>
      <c r="R27" s="9">
        <v>0</v>
      </c>
      <c r="S27" s="9">
        <f>'April 2023'!S27+'May 2023'!R27</f>
        <v>0</v>
      </c>
      <c r="T27" s="10">
        <f t="shared" si="2"/>
        <v>43.840000000000018</v>
      </c>
      <c r="U27" s="10">
        <f t="shared" si="3"/>
        <v>10884.621999999992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'April 2023'!H28</f>
        <v>11665.508999999991</v>
      </c>
      <c r="D28" s="15">
        <f t="shared" ref="D28:U28" si="9">SUM(D26:D27)</f>
        <v>16.45</v>
      </c>
      <c r="E28" s="15">
        <f t="shared" si="9"/>
        <v>29.82</v>
      </c>
      <c r="F28" s="15">
        <f t="shared" si="9"/>
        <v>0</v>
      </c>
      <c r="G28" s="15">
        <f t="shared" si="9"/>
        <v>0.02</v>
      </c>
      <c r="H28" s="15">
        <f t="shared" si="9"/>
        <v>11681.958999999992</v>
      </c>
      <c r="I28" s="15">
        <f t="shared" si="9"/>
        <v>409.70499999999998</v>
      </c>
      <c r="J28" s="15">
        <f t="shared" si="9"/>
        <v>0.27</v>
      </c>
      <c r="K28" s="15">
        <f t="shared" si="9"/>
        <v>1.4300000000000002</v>
      </c>
      <c r="L28" s="15">
        <f t="shared" si="9"/>
        <v>0</v>
      </c>
      <c r="M28" s="15">
        <f t="shared" si="9"/>
        <v>0</v>
      </c>
      <c r="N28" s="15">
        <f t="shared" si="9"/>
        <v>409.97499999999997</v>
      </c>
      <c r="O28" s="41">
        <f>'April 2023'!T28</f>
        <v>249.44000000000003</v>
      </c>
      <c r="P28" s="15">
        <f t="shared" si="9"/>
        <v>0.1</v>
      </c>
      <c r="Q28" s="15">
        <f t="shared" si="9"/>
        <v>2.29</v>
      </c>
      <c r="R28" s="15">
        <f t="shared" si="9"/>
        <v>0</v>
      </c>
      <c r="S28" s="15">
        <f t="shared" si="9"/>
        <v>0</v>
      </c>
      <c r="T28" s="15">
        <f t="shared" si="9"/>
        <v>249.54000000000002</v>
      </c>
      <c r="U28" s="15">
        <f t="shared" si="9"/>
        <v>12341.473999999991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'April 2023'!H29</f>
        <v>4561.3390000000018</v>
      </c>
      <c r="D29" s="9">
        <v>17.36</v>
      </c>
      <c r="E29" s="9">
        <f>'April 2023'!E29+'May 2023'!D29</f>
        <v>27.66</v>
      </c>
      <c r="F29" s="9">
        <v>0</v>
      </c>
      <c r="G29" s="9">
        <f>'April 2023'!G29+'May 2023'!F29</f>
        <v>0</v>
      </c>
      <c r="H29" s="9">
        <f t="shared" si="0"/>
        <v>4578.6990000000014</v>
      </c>
      <c r="I29" s="9">
        <v>184.70000000000002</v>
      </c>
      <c r="J29" s="9">
        <v>0</v>
      </c>
      <c r="K29" s="9">
        <f>'April 2023'!K29+'May 2023'!J29</f>
        <v>0</v>
      </c>
      <c r="L29" s="9">
        <v>0</v>
      </c>
      <c r="M29" s="9">
        <f>'April 2023'!M29+'May 2023'!L29</f>
        <v>0</v>
      </c>
      <c r="N29" s="9">
        <f t="shared" si="1"/>
        <v>184.70000000000002</v>
      </c>
      <c r="O29" s="10">
        <f>'April 2023'!T29</f>
        <v>525.42599999999993</v>
      </c>
      <c r="P29" s="9">
        <f>24.53+7.67</f>
        <v>32.200000000000003</v>
      </c>
      <c r="Q29" s="9">
        <f>'April 2023'!Q29+'May 2023'!P29</f>
        <v>40.356000000000002</v>
      </c>
      <c r="R29" s="9">
        <v>0</v>
      </c>
      <c r="S29" s="9">
        <f>'April 2023'!S29+'May 2023'!R29</f>
        <v>0</v>
      </c>
      <c r="T29" s="10">
        <f t="shared" si="2"/>
        <v>557.62599999999998</v>
      </c>
      <c r="U29" s="10">
        <f t="shared" si="3"/>
        <v>5321.0250000000015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'April 2023'!H30</f>
        <v>6473.702000000002</v>
      </c>
      <c r="D30" s="9">
        <v>9.8800000000000008</v>
      </c>
      <c r="E30" s="9">
        <f>'April 2023'!E30+'May 2023'!D30</f>
        <v>32.590000000000003</v>
      </c>
      <c r="F30" s="9">
        <v>0</v>
      </c>
      <c r="G30" s="9">
        <f>'April 2023'!G30+'May 2023'!F30</f>
        <v>0</v>
      </c>
      <c r="H30" s="9">
        <f t="shared" si="0"/>
        <v>6483.5820000000022</v>
      </c>
      <c r="I30" s="9">
        <v>134.70000000000002</v>
      </c>
      <c r="J30" s="9">
        <v>0</v>
      </c>
      <c r="K30" s="9">
        <f>'April 2023'!K30+'May 2023'!J30</f>
        <v>3.9</v>
      </c>
      <c r="L30" s="9">
        <v>0</v>
      </c>
      <c r="M30" s="9">
        <f>'April 2023'!M30+'May 2023'!L30</f>
        <v>0</v>
      </c>
      <c r="N30" s="9">
        <f t="shared" si="1"/>
        <v>134.70000000000002</v>
      </c>
      <c r="O30" s="10">
        <f>'April 2023'!T30</f>
        <v>284.60000000000002</v>
      </c>
      <c r="P30" s="9">
        <v>0</v>
      </c>
      <c r="Q30" s="9">
        <f>'April 2023'!Q30+'May 2023'!P30</f>
        <v>89.82</v>
      </c>
      <c r="R30" s="9">
        <v>0</v>
      </c>
      <c r="S30" s="9">
        <f>'April 2023'!S30+'May 2023'!R30</f>
        <v>0</v>
      </c>
      <c r="T30" s="10">
        <f t="shared" si="2"/>
        <v>284.60000000000002</v>
      </c>
      <c r="U30" s="10">
        <f t="shared" si="3"/>
        <v>6902.8820000000023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'April 2023'!H31</f>
        <v>3131.7979999999998</v>
      </c>
      <c r="D31" s="9">
        <v>4.1379999999999999</v>
      </c>
      <c r="E31" s="9">
        <f>'April 2023'!E31+'May 2023'!D31</f>
        <v>7.5809999999999995</v>
      </c>
      <c r="F31" s="9">
        <v>0</v>
      </c>
      <c r="G31" s="9">
        <f>'April 2023'!G31+'May 2023'!F31</f>
        <v>0</v>
      </c>
      <c r="H31" s="9">
        <f t="shared" si="0"/>
        <v>3135.9359999999997</v>
      </c>
      <c r="I31" s="9">
        <v>50.180000000000007</v>
      </c>
      <c r="J31" s="9">
        <v>0</v>
      </c>
      <c r="K31" s="9">
        <f>'April 2023'!K31+'May 2023'!J31</f>
        <v>0</v>
      </c>
      <c r="L31" s="9">
        <v>0</v>
      </c>
      <c r="M31" s="9">
        <f>'April 2023'!M31+'May 2023'!L31</f>
        <v>0</v>
      </c>
      <c r="N31" s="9">
        <f t="shared" si="1"/>
        <v>50.180000000000007</v>
      </c>
      <c r="O31" s="10">
        <f>'April 2023'!T31</f>
        <v>244.44</v>
      </c>
      <c r="P31" s="9">
        <v>0</v>
      </c>
      <c r="Q31" s="9">
        <f>'April 2023'!Q31+'May 2023'!P31</f>
        <v>0</v>
      </c>
      <c r="R31" s="9">
        <v>0</v>
      </c>
      <c r="S31" s="9">
        <f>'April 2023'!S31+'May 2023'!R31</f>
        <v>0</v>
      </c>
      <c r="T31" s="10">
        <f t="shared" si="2"/>
        <v>244.44</v>
      </c>
      <c r="U31" s="10">
        <f t="shared" si="3"/>
        <v>3430.5559999999996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'April 2023'!H32</f>
        <v>4404.07</v>
      </c>
      <c r="D32" s="9">
        <v>2.73</v>
      </c>
      <c r="E32" s="9">
        <f>'April 2023'!E32+'May 2023'!D32</f>
        <v>5.52</v>
      </c>
      <c r="F32" s="9">
        <v>0</v>
      </c>
      <c r="G32" s="9">
        <f>'April 2023'!G32+'May 2023'!F32</f>
        <v>0</v>
      </c>
      <c r="H32" s="9">
        <f t="shared" si="0"/>
        <v>4406.7999999999993</v>
      </c>
      <c r="I32" s="9">
        <v>238.59999999999997</v>
      </c>
      <c r="J32" s="9">
        <v>2.04</v>
      </c>
      <c r="K32" s="9">
        <f>'April 2023'!K32+'May 2023'!J32</f>
        <v>14.260000000000002</v>
      </c>
      <c r="L32" s="9">
        <v>0</v>
      </c>
      <c r="M32" s="9">
        <f>'April 2023'!M32+'May 2023'!L32</f>
        <v>0</v>
      </c>
      <c r="N32" s="9">
        <f t="shared" si="1"/>
        <v>240.63999999999996</v>
      </c>
      <c r="O32" s="10">
        <f>'April 2023'!T32</f>
        <v>243.69999999999996</v>
      </c>
      <c r="P32" s="9">
        <v>0</v>
      </c>
      <c r="Q32" s="9">
        <f>'April 2023'!Q32+'May 2023'!P32</f>
        <v>0.05</v>
      </c>
      <c r="R32" s="9">
        <v>0</v>
      </c>
      <c r="S32" s="9">
        <f>'April 2023'!S32+'May 2023'!R32</f>
        <v>0</v>
      </c>
      <c r="T32" s="10">
        <f t="shared" si="2"/>
        <v>243.69999999999996</v>
      </c>
      <c r="U32" s="10">
        <f t="shared" si="3"/>
        <v>4891.1399999999994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'April 2023'!H33</f>
        <v>18570.909000000003</v>
      </c>
      <c r="D33" s="15">
        <f t="shared" ref="D33:U33" si="10">SUM(D29:D32)</f>
        <v>34.107999999999997</v>
      </c>
      <c r="E33" s="15">
        <f t="shared" si="10"/>
        <v>73.350999999999999</v>
      </c>
      <c r="F33" s="15">
        <f t="shared" si="10"/>
        <v>0</v>
      </c>
      <c r="G33" s="15">
        <f t="shared" si="10"/>
        <v>0</v>
      </c>
      <c r="H33" s="15">
        <f t="shared" si="10"/>
        <v>18605.017</v>
      </c>
      <c r="I33" s="15">
        <f t="shared" si="10"/>
        <v>608.18000000000006</v>
      </c>
      <c r="J33" s="15">
        <f t="shared" si="10"/>
        <v>2.04</v>
      </c>
      <c r="K33" s="15">
        <f t="shared" si="10"/>
        <v>18.16</v>
      </c>
      <c r="L33" s="15">
        <f t="shared" si="10"/>
        <v>0</v>
      </c>
      <c r="M33" s="15">
        <f t="shared" si="10"/>
        <v>0</v>
      </c>
      <c r="N33" s="15">
        <f t="shared" si="10"/>
        <v>610.22</v>
      </c>
      <c r="O33" s="41">
        <f>'April 2023'!T33</f>
        <v>1298.1659999999999</v>
      </c>
      <c r="P33" s="15">
        <f t="shared" si="10"/>
        <v>32.200000000000003</v>
      </c>
      <c r="Q33" s="15">
        <f t="shared" si="10"/>
        <v>130.226</v>
      </c>
      <c r="R33" s="15">
        <f t="shared" si="10"/>
        <v>0</v>
      </c>
      <c r="S33" s="15">
        <f t="shared" si="10"/>
        <v>0</v>
      </c>
      <c r="T33" s="15">
        <f t="shared" si="10"/>
        <v>1330.366</v>
      </c>
      <c r="U33" s="15">
        <f t="shared" si="10"/>
        <v>20545.603000000003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'April 2023'!H34</f>
        <v>6158.0600000000022</v>
      </c>
      <c r="D34" s="9">
        <f>7.89+24.08+20.17</f>
        <v>52.14</v>
      </c>
      <c r="E34" s="9">
        <f>'April 2023'!E34+'May 2023'!D34</f>
        <v>82.2</v>
      </c>
      <c r="F34" s="9">
        <v>0</v>
      </c>
      <c r="G34" s="9">
        <f>'April 2023'!G34+'May 2023'!F34</f>
        <v>0</v>
      </c>
      <c r="H34" s="9">
        <f t="shared" si="0"/>
        <v>6210.2000000000025</v>
      </c>
      <c r="I34" s="9">
        <v>2</v>
      </c>
      <c r="J34" s="9">
        <v>0</v>
      </c>
      <c r="K34" s="9">
        <f>'April 2023'!K34+'May 2023'!J34</f>
        <v>0</v>
      </c>
      <c r="L34" s="9">
        <v>0</v>
      </c>
      <c r="M34" s="9">
        <f>'April 2023'!M34+'May 2023'!L34</f>
        <v>0</v>
      </c>
      <c r="N34" s="9">
        <f t="shared" si="1"/>
        <v>2</v>
      </c>
      <c r="O34" s="10">
        <f>'April 2023'!T34</f>
        <v>38.700000000000003</v>
      </c>
      <c r="P34" s="9">
        <v>0.18</v>
      </c>
      <c r="Q34" s="9">
        <f>'April 2023'!Q34+'May 2023'!P34</f>
        <v>0.18</v>
      </c>
      <c r="R34" s="9">
        <v>0</v>
      </c>
      <c r="S34" s="9">
        <f>'April 2023'!S34+'May 2023'!R34</f>
        <v>0</v>
      </c>
      <c r="T34" s="10">
        <f t="shared" si="2"/>
        <v>38.880000000000003</v>
      </c>
      <c r="U34" s="10">
        <f t="shared" si="3"/>
        <v>6251.0800000000027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'April 2023'!H35</f>
        <v>5363.2650000000012</v>
      </c>
      <c r="D35" s="9">
        <f>18.51+437.5</f>
        <v>456.01</v>
      </c>
      <c r="E35" s="9">
        <f>'April 2023'!E35+'May 2023'!D35</f>
        <v>909.51</v>
      </c>
      <c r="F35" s="9">
        <v>0</v>
      </c>
      <c r="G35" s="9">
        <f>'April 2023'!G35+'May 2023'!F35</f>
        <v>0</v>
      </c>
      <c r="H35" s="9">
        <f t="shared" si="0"/>
        <v>5819.2750000000015</v>
      </c>
      <c r="I35" s="9">
        <v>0.1</v>
      </c>
      <c r="J35" s="9">
        <v>0</v>
      </c>
      <c r="K35" s="9">
        <f>'April 2023'!K35+'May 2023'!J35</f>
        <v>0</v>
      </c>
      <c r="L35" s="9">
        <v>0</v>
      </c>
      <c r="M35" s="9">
        <f>'April 2023'!M35+'May 2023'!L35</f>
        <v>0</v>
      </c>
      <c r="N35" s="9">
        <f t="shared" si="1"/>
        <v>0.1</v>
      </c>
      <c r="O35" s="10">
        <f>'April 2023'!T35</f>
        <v>125.47000000000001</v>
      </c>
      <c r="P35" s="9">
        <v>0</v>
      </c>
      <c r="Q35" s="9">
        <f>'April 2023'!Q35+'May 2023'!P35</f>
        <v>0</v>
      </c>
      <c r="R35" s="9">
        <v>0</v>
      </c>
      <c r="S35" s="9">
        <f>'April 2023'!S35+'May 2023'!R35</f>
        <v>0</v>
      </c>
      <c r="T35" s="10">
        <f t="shared" si="2"/>
        <v>125.47000000000001</v>
      </c>
      <c r="U35" s="10">
        <f t="shared" si="3"/>
        <v>5944.8450000000021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'April 2023'!H36</f>
        <v>19774.400000000005</v>
      </c>
      <c r="D36" s="9">
        <f>31.37+305.38</f>
        <v>336.75</v>
      </c>
      <c r="E36" s="9">
        <f>'April 2023'!E36+'May 2023'!D36</f>
        <v>642.13</v>
      </c>
      <c r="F36" s="9">
        <v>0</v>
      </c>
      <c r="G36" s="9">
        <f>'April 2023'!G36+'May 2023'!F36</f>
        <v>0</v>
      </c>
      <c r="H36" s="9">
        <f t="shared" si="0"/>
        <v>20111.150000000005</v>
      </c>
      <c r="I36" s="9">
        <v>8.5</v>
      </c>
      <c r="J36" s="9">
        <v>0</v>
      </c>
      <c r="K36" s="9">
        <f>'April 2023'!K36+'May 2023'!J36</f>
        <v>0</v>
      </c>
      <c r="L36" s="9">
        <v>0</v>
      </c>
      <c r="M36" s="9">
        <f>'April 2023'!M36+'May 2023'!L36</f>
        <v>0</v>
      </c>
      <c r="N36" s="9">
        <f t="shared" si="1"/>
        <v>8.5</v>
      </c>
      <c r="O36" s="10">
        <f>'April 2023'!T36</f>
        <v>72.39</v>
      </c>
      <c r="P36" s="9">
        <v>0</v>
      </c>
      <c r="Q36" s="9">
        <f>'April 2023'!Q36+'May 2023'!P36</f>
        <v>0</v>
      </c>
      <c r="R36" s="9">
        <v>0</v>
      </c>
      <c r="S36" s="9">
        <f>'April 2023'!S36+'May 2023'!R36</f>
        <v>0</v>
      </c>
      <c r="T36" s="10">
        <f t="shared" si="2"/>
        <v>72.39</v>
      </c>
      <c r="U36" s="10">
        <f t="shared" si="3"/>
        <v>20192.040000000005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'April 2023'!H37</f>
        <v>7031.11</v>
      </c>
      <c r="D37" s="9">
        <v>0.46</v>
      </c>
      <c r="E37" s="9">
        <f>'April 2023'!E37+'May 2023'!D37</f>
        <v>6.63</v>
      </c>
      <c r="F37" s="9">
        <v>0</v>
      </c>
      <c r="G37" s="9">
        <f>'April 2023'!G37+'May 2023'!F37</f>
        <v>0.02</v>
      </c>
      <c r="H37" s="9">
        <f t="shared" si="0"/>
        <v>7031.57</v>
      </c>
      <c r="I37" s="9">
        <v>0</v>
      </c>
      <c r="J37" s="9">
        <v>0</v>
      </c>
      <c r="K37" s="9">
        <f>'April 2023'!K37+'May 2023'!J37</f>
        <v>0</v>
      </c>
      <c r="L37" s="9">
        <v>0</v>
      </c>
      <c r="M37" s="9">
        <f>'April 2023'!M37+'May 2023'!L37</f>
        <v>0</v>
      </c>
      <c r="N37" s="9">
        <f t="shared" si="1"/>
        <v>0</v>
      </c>
      <c r="O37" s="10">
        <f>'April 2023'!T37</f>
        <v>3.1</v>
      </c>
      <c r="P37" s="9">
        <v>0</v>
      </c>
      <c r="Q37" s="9">
        <f>'April 2023'!Q37+'May 2023'!P37</f>
        <v>0</v>
      </c>
      <c r="R37" s="9">
        <v>0</v>
      </c>
      <c r="S37" s="9">
        <f>'April 2023'!S37+'May 2023'!R37</f>
        <v>0</v>
      </c>
      <c r="T37" s="10">
        <f t="shared" si="2"/>
        <v>3.1</v>
      </c>
      <c r="U37" s="10">
        <f t="shared" si="3"/>
        <v>7034.67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'April 2023'!H38</f>
        <v>38326.835000000006</v>
      </c>
      <c r="D38" s="15">
        <f t="shared" ref="D38:U38" si="11">SUM(D34:D37)</f>
        <v>845.36</v>
      </c>
      <c r="E38" s="15">
        <f t="shared" si="11"/>
        <v>1640.4700000000003</v>
      </c>
      <c r="F38" s="15">
        <f t="shared" si="11"/>
        <v>0</v>
      </c>
      <c r="G38" s="15">
        <f t="shared" si="11"/>
        <v>0.02</v>
      </c>
      <c r="H38" s="15">
        <f t="shared" si="11"/>
        <v>39172.195000000007</v>
      </c>
      <c r="I38" s="15">
        <f t="shared" si="11"/>
        <v>10.6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11"/>
        <v>10.6</v>
      </c>
      <c r="O38" s="41">
        <f>'April 2023'!T38</f>
        <v>239.66</v>
      </c>
      <c r="P38" s="15">
        <f t="shared" si="11"/>
        <v>0.18</v>
      </c>
      <c r="Q38" s="15">
        <f t="shared" si="11"/>
        <v>0.18</v>
      </c>
      <c r="R38" s="15">
        <f t="shared" si="11"/>
        <v>0</v>
      </c>
      <c r="S38" s="15">
        <f t="shared" si="11"/>
        <v>0</v>
      </c>
      <c r="T38" s="15">
        <f t="shared" si="11"/>
        <v>239.84</v>
      </c>
      <c r="U38" s="15">
        <f t="shared" si="11"/>
        <v>39422.635000000009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'April 2023'!H39</f>
        <v>68563.252999999997</v>
      </c>
      <c r="D39" s="15">
        <f t="shared" ref="D39:U39" si="12">D38+D33+D28</f>
        <v>895.91800000000001</v>
      </c>
      <c r="E39" s="15">
        <f t="shared" si="12"/>
        <v>1743.6410000000003</v>
      </c>
      <c r="F39" s="15">
        <f t="shared" si="12"/>
        <v>0</v>
      </c>
      <c r="G39" s="15">
        <f t="shared" si="12"/>
        <v>0.04</v>
      </c>
      <c r="H39" s="15">
        <f t="shared" si="12"/>
        <v>69459.171000000002</v>
      </c>
      <c r="I39" s="15">
        <f t="shared" si="12"/>
        <v>1028.4850000000001</v>
      </c>
      <c r="J39" s="15">
        <f t="shared" si="12"/>
        <v>2.31</v>
      </c>
      <c r="K39" s="15">
        <f t="shared" si="12"/>
        <v>19.59</v>
      </c>
      <c r="L39" s="15">
        <f t="shared" si="12"/>
        <v>0</v>
      </c>
      <c r="M39" s="15">
        <f t="shared" si="12"/>
        <v>0</v>
      </c>
      <c r="N39" s="15">
        <f t="shared" si="12"/>
        <v>1030.7950000000001</v>
      </c>
      <c r="O39" s="41">
        <f>'April 2023'!T39</f>
        <v>1787.2660000000001</v>
      </c>
      <c r="P39" s="15">
        <f t="shared" si="12"/>
        <v>32.480000000000004</v>
      </c>
      <c r="Q39" s="15">
        <f t="shared" si="12"/>
        <v>132.696</v>
      </c>
      <c r="R39" s="15">
        <f t="shared" si="12"/>
        <v>0</v>
      </c>
      <c r="S39" s="15">
        <f t="shared" si="12"/>
        <v>0</v>
      </c>
      <c r="T39" s="15">
        <f t="shared" si="12"/>
        <v>1819.7459999999999</v>
      </c>
      <c r="U39" s="15">
        <f t="shared" si="12"/>
        <v>72309.712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'April 2023'!H40</f>
        <v>13915.638000000003</v>
      </c>
      <c r="D40" s="9">
        <v>8.6999999999999993</v>
      </c>
      <c r="E40" s="9">
        <f>'April 2023'!E40+'May 2023'!D40</f>
        <v>15.09</v>
      </c>
      <c r="F40" s="9">
        <v>0</v>
      </c>
      <c r="G40" s="9">
        <f>'April 2023'!G40+'May 2023'!F40</f>
        <v>0</v>
      </c>
      <c r="H40" s="9">
        <f t="shared" si="0"/>
        <v>13924.338000000003</v>
      </c>
      <c r="I40" s="9">
        <v>226.8</v>
      </c>
      <c r="J40" s="9">
        <v>0</v>
      </c>
      <c r="K40" s="9">
        <f>'April 2023'!K40+'May 2023'!J40</f>
        <v>0</v>
      </c>
      <c r="L40" s="9">
        <v>0</v>
      </c>
      <c r="M40" s="9">
        <f>'April 2023'!M40+'May 2023'!L40</f>
        <v>0</v>
      </c>
      <c r="N40" s="9">
        <f t="shared" si="1"/>
        <v>226.8</v>
      </c>
      <c r="O40" s="10">
        <f>'April 2023'!T40</f>
        <v>75.02000000000001</v>
      </c>
      <c r="P40" s="9">
        <v>0</v>
      </c>
      <c r="Q40" s="9">
        <f>'April 2023'!Q40+'May 2023'!P40</f>
        <v>0</v>
      </c>
      <c r="R40" s="9">
        <v>0</v>
      </c>
      <c r="S40" s="9">
        <f>'April 2023'!S40+'May 2023'!R40</f>
        <v>0</v>
      </c>
      <c r="T40" s="10">
        <f t="shared" si="2"/>
        <v>75.02000000000001</v>
      </c>
      <c r="U40" s="10">
        <f t="shared" si="3"/>
        <v>14226.158000000003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'April 2023'!H41</f>
        <v>10693.095999999994</v>
      </c>
      <c r="D41" s="9">
        <v>4.8600000000000003</v>
      </c>
      <c r="E41" s="9">
        <f>'April 2023'!E41+'May 2023'!D41</f>
        <v>5.7200000000000006</v>
      </c>
      <c r="F41" s="9">
        <v>0</v>
      </c>
      <c r="G41" s="9">
        <f>'April 2023'!G41+'May 2023'!F41</f>
        <v>0</v>
      </c>
      <c r="H41" s="9">
        <f t="shared" si="0"/>
        <v>10697.955999999995</v>
      </c>
      <c r="I41" s="9">
        <v>0</v>
      </c>
      <c r="J41" s="9">
        <v>0</v>
      </c>
      <c r="K41" s="9">
        <f>'April 2023'!K41+'May 2023'!J41</f>
        <v>0</v>
      </c>
      <c r="L41" s="9">
        <v>0</v>
      </c>
      <c r="M41" s="9">
        <f>'April 2023'!M41+'May 2023'!L41</f>
        <v>0</v>
      </c>
      <c r="N41" s="9">
        <f t="shared" si="1"/>
        <v>0</v>
      </c>
      <c r="O41" s="10">
        <f>'April 2023'!T41</f>
        <v>89.580000000000013</v>
      </c>
      <c r="P41" s="9">
        <v>0</v>
      </c>
      <c r="Q41" s="9">
        <f>'April 2023'!Q41+'May 2023'!P41</f>
        <v>0</v>
      </c>
      <c r="R41" s="9">
        <v>0</v>
      </c>
      <c r="S41" s="9">
        <f>'April 2023'!S41+'May 2023'!R41</f>
        <v>0</v>
      </c>
      <c r="T41" s="10">
        <f t="shared" si="2"/>
        <v>89.580000000000013</v>
      </c>
      <c r="U41" s="10">
        <f t="shared" si="3"/>
        <v>10787.535999999995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'April 2023'!H42</f>
        <v>24196.114000000005</v>
      </c>
      <c r="D42" s="9">
        <f>12.15+96.87</f>
        <v>109.02000000000001</v>
      </c>
      <c r="E42" s="9">
        <f>'April 2023'!E42+'May 2023'!D42</f>
        <v>224.90000000000003</v>
      </c>
      <c r="F42" s="9">
        <v>0</v>
      </c>
      <c r="G42" s="9">
        <f>'April 2023'!G42+'May 2023'!F42</f>
        <v>0</v>
      </c>
      <c r="H42" s="9">
        <f t="shared" si="0"/>
        <v>24305.134000000005</v>
      </c>
      <c r="I42" s="9">
        <v>0</v>
      </c>
      <c r="J42" s="9">
        <v>0</v>
      </c>
      <c r="K42" s="9">
        <f>'April 2023'!K42+'May 2023'!J42</f>
        <v>0</v>
      </c>
      <c r="L42" s="9">
        <v>0</v>
      </c>
      <c r="M42" s="9">
        <f>'April 2023'!M42+'May 2023'!L42</f>
        <v>0</v>
      </c>
      <c r="N42" s="9">
        <f t="shared" si="1"/>
        <v>0</v>
      </c>
      <c r="O42" s="10">
        <f>'April 2023'!T42</f>
        <v>38.47</v>
      </c>
      <c r="P42" s="9">
        <v>0</v>
      </c>
      <c r="Q42" s="9">
        <f>'April 2023'!Q42+'May 2023'!P42</f>
        <v>0</v>
      </c>
      <c r="R42" s="9">
        <v>0</v>
      </c>
      <c r="S42" s="9">
        <f>'April 2023'!S42+'May 2023'!R42</f>
        <v>0</v>
      </c>
      <c r="T42" s="10">
        <f t="shared" si="2"/>
        <v>38.47</v>
      </c>
      <c r="U42" s="10">
        <f t="shared" si="3"/>
        <v>24343.604000000007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'April 2023'!H43</f>
        <v>2540.973</v>
      </c>
      <c r="D43" s="9">
        <f>4.4+55.71</f>
        <v>60.11</v>
      </c>
      <c r="E43" s="9">
        <f>'April 2023'!E43+'May 2023'!D43</f>
        <v>121.08</v>
      </c>
      <c r="F43" s="9">
        <v>0</v>
      </c>
      <c r="G43" s="9">
        <f>'April 2023'!G43+'May 2023'!F43</f>
        <v>0</v>
      </c>
      <c r="H43" s="9">
        <f t="shared" si="0"/>
        <v>2601.0830000000001</v>
      </c>
      <c r="I43" s="9">
        <v>0</v>
      </c>
      <c r="J43" s="9">
        <v>0</v>
      </c>
      <c r="K43" s="9">
        <f>'April 2023'!K43+'May 2023'!J43</f>
        <v>0</v>
      </c>
      <c r="L43" s="9">
        <v>0</v>
      </c>
      <c r="M43" s="9">
        <f>'April 2023'!M43+'May 2023'!L43</f>
        <v>0</v>
      </c>
      <c r="N43" s="9">
        <f t="shared" si="1"/>
        <v>0</v>
      </c>
      <c r="O43" s="10">
        <f>'April 2023'!T43</f>
        <v>146.49</v>
      </c>
      <c r="P43" s="9">
        <v>0</v>
      </c>
      <c r="Q43" s="9">
        <f>'April 2023'!Q43+'May 2023'!P43</f>
        <v>0</v>
      </c>
      <c r="R43" s="9">
        <v>0</v>
      </c>
      <c r="S43" s="9">
        <f>'April 2023'!S43+'May 2023'!R43</f>
        <v>0</v>
      </c>
      <c r="T43" s="10">
        <f t="shared" si="2"/>
        <v>146.49</v>
      </c>
      <c r="U43" s="10">
        <f t="shared" si="3"/>
        <v>2747.5730000000003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'April 2023'!H44</f>
        <v>51345.820999999996</v>
      </c>
      <c r="D44" s="15">
        <f t="shared" ref="D44:U44" si="13">SUM(D40:D43)</f>
        <v>182.69</v>
      </c>
      <c r="E44" s="15">
        <f t="shared" si="13"/>
        <v>366.79</v>
      </c>
      <c r="F44" s="15">
        <f t="shared" si="13"/>
        <v>0</v>
      </c>
      <c r="G44" s="15">
        <f t="shared" si="13"/>
        <v>0</v>
      </c>
      <c r="H44" s="15">
        <f t="shared" si="13"/>
        <v>51528.510999999999</v>
      </c>
      <c r="I44" s="15">
        <f t="shared" si="13"/>
        <v>226.8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3"/>
        <v>226.8</v>
      </c>
      <c r="O44" s="41">
        <f>'April 2023'!T44</f>
        <v>349.56000000000006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3"/>
        <v>0</v>
      </c>
      <c r="T44" s="15">
        <f t="shared" si="13"/>
        <v>349.56000000000006</v>
      </c>
      <c r="U44" s="15">
        <f t="shared" si="13"/>
        <v>52104.870999999999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'April 2023'!H45</f>
        <v>14129.455000000002</v>
      </c>
      <c r="D45" s="9">
        <v>6.23</v>
      </c>
      <c r="E45" s="9">
        <f>'April 2023'!E45+'May 2023'!D45</f>
        <v>10.02</v>
      </c>
      <c r="F45" s="9">
        <v>0</v>
      </c>
      <c r="G45" s="9">
        <f>'April 2023'!G45+'May 2023'!F45</f>
        <v>0</v>
      </c>
      <c r="H45" s="9">
        <f t="shared" si="0"/>
        <v>14135.685000000001</v>
      </c>
      <c r="I45" s="9">
        <v>6.67</v>
      </c>
      <c r="J45" s="9">
        <v>0</v>
      </c>
      <c r="K45" s="9">
        <f>'April 2023'!K45+'May 2023'!J45</f>
        <v>0</v>
      </c>
      <c r="L45" s="9">
        <v>0</v>
      </c>
      <c r="M45" s="9">
        <f>'April 2023'!M45+'May 2023'!L45</f>
        <v>0</v>
      </c>
      <c r="N45" s="9">
        <f t="shared" si="1"/>
        <v>6.67</v>
      </c>
      <c r="O45" s="10">
        <f>'April 2023'!T45</f>
        <v>105.87000000000002</v>
      </c>
      <c r="P45" s="9">
        <v>0</v>
      </c>
      <c r="Q45" s="9">
        <f>'April 2023'!Q45+'May 2023'!P45</f>
        <v>0</v>
      </c>
      <c r="R45" s="9">
        <v>0</v>
      </c>
      <c r="S45" s="9">
        <f>'April 2023'!S45+'May 2023'!R45</f>
        <v>0</v>
      </c>
      <c r="T45" s="10">
        <f t="shared" si="2"/>
        <v>105.87000000000002</v>
      </c>
      <c r="U45" s="10">
        <f t="shared" si="3"/>
        <v>14248.225000000002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'April 2023'!H46</f>
        <v>7440.7349999999988</v>
      </c>
      <c r="D46" s="9">
        <v>14.56</v>
      </c>
      <c r="E46" s="9">
        <f>'April 2023'!E46+'May 2023'!D46</f>
        <v>42.24</v>
      </c>
      <c r="F46" s="9">
        <v>0</v>
      </c>
      <c r="G46" s="9">
        <f>'April 2023'!G46+'May 2023'!F46</f>
        <v>0</v>
      </c>
      <c r="H46" s="9">
        <f t="shared" si="0"/>
        <v>7455.2949999999992</v>
      </c>
      <c r="I46" s="9">
        <v>0</v>
      </c>
      <c r="J46" s="9">
        <v>0</v>
      </c>
      <c r="K46" s="9">
        <f>'April 2023'!K46+'May 2023'!J46</f>
        <v>0</v>
      </c>
      <c r="L46" s="9">
        <v>0</v>
      </c>
      <c r="M46" s="9">
        <f>'April 2023'!M46+'May 2023'!L46</f>
        <v>0</v>
      </c>
      <c r="N46" s="9">
        <f t="shared" si="1"/>
        <v>0</v>
      </c>
      <c r="O46" s="10">
        <f>'April 2023'!T46</f>
        <v>7.5900000000000007</v>
      </c>
      <c r="P46" s="9">
        <v>0</v>
      </c>
      <c r="Q46" s="9">
        <f>'April 2023'!Q46+'May 2023'!P46</f>
        <v>0</v>
      </c>
      <c r="R46" s="9">
        <v>0</v>
      </c>
      <c r="S46" s="9">
        <f>'April 2023'!S46+'May 2023'!R46</f>
        <v>0</v>
      </c>
      <c r="T46" s="10">
        <f t="shared" si="2"/>
        <v>7.5900000000000007</v>
      </c>
      <c r="U46" s="10">
        <f t="shared" si="3"/>
        <v>7462.8849999999993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'April 2023'!H47</f>
        <v>12304.080000000005</v>
      </c>
      <c r="D47" s="9">
        <v>0.61</v>
      </c>
      <c r="E47" s="9">
        <f>'April 2023'!E47+'May 2023'!D47</f>
        <v>0.65</v>
      </c>
      <c r="F47" s="9">
        <v>0</v>
      </c>
      <c r="G47" s="9">
        <f>'April 2023'!G47+'May 2023'!F47</f>
        <v>0</v>
      </c>
      <c r="H47" s="9">
        <f t="shared" si="0"/>
        <v>12304.690000000006</v>
      </c>
      <c r="I47" s="9">
        <v>1.2999999999999998</v>
      </c>
      <c r="J47" s="9">
        <v>0</v>
      </c>
      <c r="K47" s="9">
        <f>'April 2023'!K47+'May 2023'!J47</f>
        <v>0</v>
      </c>
      <c r="L47" s="9">
        <v>0</v>
      </c>
      <c r="M47" s="9">
        <f>'April 2023'!M47+'May 2023'!L47</f>
        <v>0</v>
      </c>
      <c r="N47" s="9">
        <f t="shared" si="1"/>
        <v>1.2999999999999998</v>
      </c>
      <c r="O47" s="10">
        <f>'April 2023'!T47</f>
        <v>86.18</v>
      </c>
      <c r="P47" s="9">
        <v>0</v>
      </c>
      <c r="Q47" s="9">
        <f>'April 2023'!Q47+'May 2023'!P47</f>
        <v>0</v>
      </c>
      <c r="R47" s="9">
        <v>0</v>
      </c>
      <c r="S47" s="9">
        <f>'April 2023'!S47+'May 2023'!R47</f>
        <v>0</v>
      </c>
      <c r="T47" s="10">
        <f t="shared" si="2"/>
        <v>86.18</v>
      </c>
      <c r="U47" s="10">
        <f t="shared" si="3"/>
        <v>12392.170000000006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'April 2023'!H48</f>
        <v>11109.712000000009</v>
      </c>
      <c r="D48" s="9">
        <v>1.0900000000000001</v>
      </c>
      <c r="E48" s="9">
        <f>'April 2023'!E48+'May 2023'!D48</f>
        <v>3.59</v>
      </c>
      <c r="F48" s="9">
        <v>0</v>
      </c>
      <c r="G48" s="9">
        <f>'April 2023'!G48+'May 2023'!F48</f>
        <v>0</v>
      </c>
      <c r="H48" s="9">
        <f t="shared" si="0"/>
        <v>11110.802000000009</v>
      </c>
      <c r="I48" s="9">
        <v>0</v>
      </c>
      <c r="J48" s="9">
        <v>0</v>
      </c>
      <c r="K48" s="9">
        <f>'April 2023'!K48+'May 2023'!J48</f>
        <v>0</v>
      </c>
      <c r="L48" s="9">
        <v>0</v>
      </c>
      <c r="M48" s="9">
        <f>'April 2023'!M48+'May 2023'!L48</f>
        <v>0</v>
      </c>
      <c r="N48" s="9">
        <f t="shared" si="1"/>
        <v>0</v>
      </c>
      <c r="O48" s="10">
        <f>'April 2023'!T48</f>
        <v>30.53</v>
      </c>
      <c r="P48" s="9">
        <v>0</v>
      </c>
      <c r="Q48" s="9">
        <f>'April 2023'!Q48+'May 2023'!P48</f>
        <v>0</v>
      </c>
      <c r="R48" s="9">
        <v>0</v>
      </c>
      <c r="S48" s="9">
        <f>'April 2023'!S48+'May 2023'!R48</f>
        <v>0</v>
      </c>
      <c r="T48" s="10">
        <f t="shared" si="2"/>
        <v>30.53</v>
      </c>
      <c r="U48" s="10">
        <f t="shared" si="3"/>
        <v>11141.332000000009</v>
      </c>
      <c r="V48" s="75"/>
      <c r="W48" s="11"/>
    </row>
    <row r="49" spans="1:23" s="16" customFormat="1" ht="42.75" customHeight="1">
      <c r="A49" s="13"/>
      <c r="B49" s="14" t="s">
        <v>57</v>
      </c>
      <c r="C49" s="15">
        <f>'April 2023'!H49</f>
        <v>44983.982000000011</v>
      </c>
      <c r="D49" s="15">
        <f t="shared" ref="D49:U49" si="14">SUM(D45:D48)</f>
        <v>22.49</v>
      </c>
      <c r="E49" s="15">
        <f t="shared" si="14"/>
        <v>56.5</v>
      </c>
      <c r="F49" s="15">
        <f t="shared" si="14"/>
        <v>0</v>
      </c>
      <c r="G49" s="15">
        <f t="shared" si="14"/>
        <v>0</v>
      </c>
      <c r="H49" s="15">
        <f t="shared" si="14"/>
        <v>45006.472000000016</v>
      </c>
      <c r="I49" s="15">
        <f t="shared" si="14"/>
        <v>7.97</v>
      </c>
      <c r="J49" s="15">
        <f t="shared" si="14"/>
        <v>0</v>
      </c>
      <c r="K49" s="15">
        <f t="shared" si="14"/>
        <v>0</v>
      </c>
      <c r="L49" s="15">
        <f t="shared" si="14"/>
        <v>0</v>
      </c>
      <c r="M49" s="15">
        <f t="shared" si="14"/>
        <v>0</v>
      </c>
      <c r="N49" s="15">
        <f t="shared" si="14"/>
        <v>7.97</v>
      </c>
      <c r="O49" s="41">
        <f>'April 2023'!T49</f>
        <v>230.17000000000004</v>
      </c>
      <c r="P49" s="15">
        <f t="shared" si="14"/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  <c r="T49" s="15">
        <f t="shared" si="14"/>
        <v>230.17000000000004</v>
      </c>
      <c r="U49" s="15">
        <f t="shared" si="14"/>
        <v>45244.612000000016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'April 2023'!H50</f>
        <v>96329.803000000014</v>
      </c>
      <c r="D50" s="15">
        <f t="shared" ref="D50:U50" si="15">D49+D44</f>
        <v>205.18</v>
      </c>
      <c r="E50" s="15">
        <f t="shared" si="15"/>
        <v>423.29</v>
      </c>
      <c r="F50" s="15">
        <f t="shared" si="15"/>
        <v>0</v>
      </c>
      <c r="G50" s="15">
        <f t="shared" si="15"/>
        <v>0</v>
      </c>
      <c r="H50" s="15">
        <f t="shared" si="15"/>
        <v>96534.983000000007</v>
      </c>
      <c r="I50" s="15">
        <f t="shared" si="15"/>
        <v>234.77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5"/>
        <v>234.77</v>
      </c>
      <c r="O50" s="41">
        <f>'April 2023'!T50</f>
        <v>579.73000000000013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579.73000000000013</v>
      </c>
      <c r="U50" s="15">
        <f t="shared" si="15"/>
        <v>97349.483000000007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'April 2023'!H51</f>
        <v>173809.889</v>
      </c>
      <c r="D51" s="15">
        <f t="shared" ref="D51:U51" si="16">D50+D39+D25</f>
        <v>1106.288</v>
      </c>
      <c r="E51" s="15">
        <f t="shared" si="16"/>
        <v>2174.4310000000005</v>
      </c>
      <c r="F51" s="15">
        <f t="shared" si="16"/>
        <v>2.7</v>
      </c>
      <c r="G51" s="15">
        <f t="shared" si="16"/>
        <v>3.24</v>
      </c>
      <c r="H51" s="37">
        <f t="shared" si="16"/>
        <v>174913.47700000001</v>
      </c>
      <c r="I51" s="15">
        <f t="shared" si="16"/>
        <v>2842.9730000000004</v>
      </c>
      <c r="J51" s="15">
        <f t="shared" si="16"/>
        <v>11.912000000000001</v>
      </c>
      <c r="K51" s="15">
        <f t="shared" si="16"/>
        <v>38.786000000000001</v>
      </c>
      <c r="L51" s="15">
        <f t="shared" si="16"/>
        <v>0.08</v>
      </c>
      <c r="M51" s="15">
        <f t="shared" si="16"/>
        <v>0.12</v>
      </c>
      <c r="N51" s="37">
        <f t="shared" si="16"/>
        <v>2854.8050000000003</v>
      </c>
      <c r="O51" s="41">
        <f>'April 2023'!T51</f>
        <v>9625.7999999999993</v>
      </c>
      <c r="P51" s="15">
        <f t="shared" si="16"/>
        <v>131.97</v>
      </c>
      <c r="Q51" s="15">
        <f t="shared" si="16"/>
        <v>439.79600000000005</v>
      </c>
      <c r="R51" s="15">
        <f t="shared" si="16"/>
        <v>0</v>
      </c>
      <c r="S51" s="15">
        <f t="shared" si="16"/>
        <v>0</v>
      </c>
      <c r="T51" s="37">
        <f t="shared" si="16"/>
        <v>9757.77</v>
      </c>
      <c r="U51" s="15">
        <f t="shared" si="16"/>
        <v>187526.052</v>
      </c>
      <c r="V51" s="40"/>
      <c r="W51" s="40"/>
    </row>
    <row r="52" spans="1:23" s="21" customFormat="1" ht="42.75" hidden="1" customHeight="1">
      <c r="A52" s="18"/>
      <c r="B52" s="19"/>
      <c r="C52" s="9">
        <f>'[2]Feb 2023'!H52</f>
        <v>0</v>
      </c>
      <c r="D52" s="20"/>
      <c r="E52" s="9">
        <f t="shared" ref="E52:E53" si="17">D52</f>
        <v>0</v>
      </c>
      <c r="F52" s="20"/>
      <c r="G52" s="9">
        <f t="shared" ref="G52:G53" si="18">F52</f>
        <v>0</v>
      </c>
      <c r="H52" s="9">
        <f t="shared" si="0"/>
        <v>0</v>
      </c>
      <c r="I52" s="9">
        <f>'April 2023'!N52</f>
        <v>0</v>
      </c>
      <c r="J52" s="20"/>
      <c r="K52" s="9">
        <f t="shared" ref="K52:K53" si="19">J52</f>
        <v>0</v>
      </c>
      <c r="L52" s="20"/>
      <c r="M52" s="9"/>
      <c r="N52" s="20"/>
      <c r="O52" s="20"/>
      <c r="P52" s="20"/>
      <c r="Q52" s="9">
        <f t="shared" ref="Q52:Q53" si="20">P52</f>
        <v>0</v>
      </c>
      <c r="R52" s="20"/>
      <c r="S52" s="9">
        <f t="shared" ref="S52:S53" si="21">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'[2]Feb 2023'!H53</f>
        <v>0</v>
      </c>
      <c r="D53" s="20"/>
      <c r="E53" s="9">
        <f t="shared" si="17"/>
        <v>0</v>
      </c>
      <c r="F53" s="20"/>
      <c r="G53" s="9">
        <f t="shared" si="18"/>
        <v>0</v>
      </c>
      <c r="H53" s="9">
        <f t="shared" si="0"/>
        <v>0</v>
      </c>
      <c r="I53" s="9">
        <f>'April 2023'!N53</f>
        <v>0</v>
      </c>
      <c r="J53" s="20"/>
      <c r="K53" s="9">
        <f t="shared" si="19"/>
        <v>0</v>
      </c>
      <c r="L53" s="20"/>
      <c r="M53" s="9"/>
      <c r="N53" s="20"/>
      <c r="O53" s="20"/>
      <c r="P53" s="22"/>
      <c r="Q53" s="9">
        <f t="shared" si="20"/>
        <v>0</v>
      </c>
      <c r="R53" s="20"/>
      <c r="S53" s="9">
        <f t="shared" si="21"/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24"/>
      <c r="L54" s="20"/>
      <c r="M54" s="22"/>
      <c r="N54" s="20"/>
      <c r="O54" s="20"/>
      <c r="P54" s="22"/>
      <c r="Q54" s="24"/>
      <c r="R54" s="20"/>
      <c r="S54" s="22"/>
      <c r="T54" s="23"/>
      <c r="U54" s="20"/>
      <c r="V54" s="20"/>
      <c r="W54" s="20"/>
    </row>
    <row r="55" spans="1:23" s="43" customFormat="1" ht="30">
      <c r="A55" s="76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1247.3900000000001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2649.6530000000012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187526.052</v>
      </c>
      <c r="I58" s="30"/>
      <c r="J58" s="30"/>
      <c r="K58" s="30"/>
      <c r="L58" s="31"/>
      <c r="M58" s="31"/>
      <c r="N58" s="32" t="e">
        <f>#REF!+'May 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#REF!+'May 2023'!H56</f>
        <v>#REF!</v>
      </c>
      <c r="K59" s="30"/>
      <c r="L59" s="35" t="e">
        <f>#REF!+'May 2023'!H56</f>
        <v>#REF!</v>
      </c>
      <c r="M59" s="30"/>
      <c r="O59" s="11"/>
    </row>
  </sheetData>
  <mergeCells count="26">
    <mergeCell ref="D57:G57"/>
    <mergeCell ref="D58:G58"/>
    <mergeCell ref="V26:V27"/>
    <mergeCell ref="V45:V48"/>
    <mergeCell ref="A55:K55"/>
    <mergeCell ref="I5:I6"/>
    <mergeCell ref="J5:K5"/>
    <mergeCell ref="L5:M5"/>
    <mergeCell ref="N5:N6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O5:O6"/>
    <mergeCell ref="P5:Q5"/>
    <mergeCell ref="R5:S5"/>
    <mergeCell ref="T5:T6"/>
    <mergeCell ref="U5:U6"/>
    <mergeCell ref="H5:H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0"/>
  <sheetViews>
    <sheetView topLeftCell="A37" zoomScale="38" zoomScaleNormal="38" zoomScaleSheetLayoutView="25" workbookViewId="0">
      <selection activeCell="A55" sqref="A55:XFD55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'May 2023'!H7</f>
        <v>83.970000000000653</v>
      </c>
      <c r="D7" s="9">
        <v>0</v>
      </c>
      <c r="E7" s="9">
        <f>'May 2023'!E7+'June 2023'!D7</f>
        <v>0</v>
      </c>
      <c r="F7" s="9">
        <v>0</v>
      </c>
      <c r="G7" s="9">
        <f>'May 2023'!G7+'June 2023'!F7</f>
        <v>0</v>
      </c>
      <c r="H7" s="9">
        <f>C7+D7-F7</f>
        <v>83.970000000000653</v>
      </c>
      <c r="I7" s="9">
        <f>'May 2023'!N7</f>
        <v>175.68599999999995</v>
      </c>
      <c r="J7" s="9">
        <v>31.31</v>
      </c>
      <c r="K7" s="9">
        <f>'May 2023'!K7+'June 2023'!J7</f>
        <v>32.125</v>
      </c>
      <c r="L7" s="9">
        <v>0</v>
      </c>
      <c r="M7" s="9">
        <f>'May 2023'!M7+'June 2023'!L7</f>
        <v>0</v>
      </c>
      <c r="N7" s="9">
        <f>I7+J7-L7</f>
        <v>206.99599999999995</v>
      </c>
      <c r="O7" s="10">
        <f>'May 2023'!T7</f>
        <v>284.1400000000001</v>
      </c>
      <c r="P7" s="9">
        <v>0</v>
      </c>
      <c r="Q7" s="9">
        <f>'May 2023'!Q7+'June 2023'!P7</f>
        <v>0</v>
      </c>
      <c r="R7" s="9">
        <v>19.239999999999998</v>
      </c>
      <c r="S7" s="9">
        <f>'May 2023'!S7+'June 2023'!R7</f>
        <v>19.239999999999998</v>
      </c>
      <c r="T7" s="10">
        <f>O7+P7-R7</f>
        <v>264.90000000000009</v>
      </c>
      <c r="U7" s="10">
        <f>H7+N7+T7</f>
        <v>555.86600000000067</v>
      </c>
      <c r="V7" s="11"/>
      <c r="W7" s="11"/>
    </row>
    <row r="8" spans="1:183" ht="42.75" customHeight="1">
      <c r="A8" s="7">
        <v>2</v>
      </c>
      <c r="B8" s="8" t="s">
        <v>15</v>
      </c>
      <c r="C8" s="9">
        <f>'May 2023'!H8</f>
        <v>497.97499999999985</v>
      </c>
      <c r="D8" s="9">
        <v>0.15</v>
      </c>
      <c r="E8" s="9">
        <f>'May 2023'!E8+'June 2023'!D8</f>
        <v>0.51</v>
      </c>
      <c r="F8" s="9">
        <v>0</v>
      </c>
      <c r="G8" s="9">
        <f>'May 2023'!G8+'June 2023'!F8</f>
        <v>0</v>
      </c>
      <c r="H8" s="9">
        <f t="shared" ref="H8:H53" si="0">C8+D8-F8</f>
        <v>498.12499999999983</v>
      </c>
      <c r="I8" s="9">
        <f>'May 2023'!N8</f>
        <v>146.096</v>
      </c>
      <c r="J8" s="9">
        <v>2.65</v>
      </c>
      <c r="K8" s="9">
        <f>'May 2023'!K8+'June 2023'!J8</f>
        <v>5.84</v>
      </c>
      <c r="L8" s="9">
        <v>0</v>
      </c>
      <c r="M8" s="9">
        <f>'May 2023'!M8+'June 2023'!L8</f>
        <v>0</v>
      </c>
      <c r="N8" s="9">
        <f t="shared" ref="N8:N48" si="1">I8+J8-L8</f>
        <v>148.74600000000001</v>
      </c>
      <c r="O8" s="10">
        <f>'May 2023'!T8</f>
        <v>222.27000000000004</v>
      </c>
      <c r="P8" s="9">
        <v>0</v>
      </c>
      <c r="Q8" s="9">
        <f>'May 2023'!Q8+'June 2023'!P8</f>
        <v>0</v>
      </c>
      <c r="R8" s="9">
        <v>0</v>
      </c>
      <c r="S8" s="9">
        <f>'May 2023'!S8+'June 2023'!R8</f>
        <v>0</v>
      </c>
      <c r="T8" s="10">
        <f t="shared" ref="T8:T48" si="2">O8+P8-R8</f>
        <v>222.27000000000004</v>
      </c>
      <c r="U8" s="10">
        <f t="shared" ref="U8:U48" si="3">H8+N8+T8</f>
        <v>869.14099999999985</v>
      </c>
      <c r="V8" s="11"/>
      <c r="W8" s="11"/>
    </row>
    <row r="9" spans="1:183" ht="42.75" customHeight="1">
      <c r="A9" s="7">
        <v>3</v>
      </c>
      <c r="B9" s="8" t="s">
        <v>16</v>
      </c>
      <c r="C9" s="9">
        <f>'May 2023'!H9</f>
        <v>653.9599999999997</v>
      </c>
      <c r="D9" s="9">
        <v>0</v>
      </c>
      <c r="E9" s="9">
        <f>'May 2023'!E9+'June 2023'!D9</f>
        <v>0</v>
      </c>
      <c r="F9" s="9">
        <v>0</v>
      </c>
      <c r="G9" s="9">
        <f>'May 2023'!G9+'June 2023'!F9</f>
        <v>0</v>
      </c>
      <c r="H9" s="9">
        <f t="shared" si="0"/>
        <v>653.9599999999997</v>
      </c>
      <c r="I9" s="9">
        <f>'May 2023'!N9</f>
        <v>220.74200000000002</v>
      </c>
      <c r="J9" s="9">
        <v>7.6879999999999997</v>
      </c>
      <c r="K9" s="9">
        <f>'May 2023'!K9+'June 2023'!J9</f>
        <v>12.923999999999999</v>
      </c>
      <c r="L9" s="9">
        <v>0</v>
      </c>
      <c r="M9" s="9">
        <f>'May 2023'!M9+'June 2023'!L9</f>
        <v>0</v>
      </c>
      <c r="N9" s="9">
        <f t="shared" si="1"/>
        <v>228.43</v>
      </c>
      <c r="O9" s="10">
        <f>'May 2023'!T9</f>
        <v>396.65999999999997</v>
      </c>
      <c r="P9" s="9">
        <f>19.24+20.62+37.8</f>
        <v>77.66</v>
      </c>
      <c r="Q9" s="9">
        <f>'May 2023'!Q9+'June 2023'!P9</f>
        <v>207.73</v>
      </c>
      <c r="R9" s="9">
        <v>0</v>
      </c>
      <c r="S9" s="9">
        <f>'May 2023'!S9+'June 2023'!R9</f>
        <v>0</v>
      </c>
      <c r="T9" s="10">
        <f t="shared" si="2"/>
        <v>474.31999999999994</v>
      </c>
      <c r="U9" s="10">
        <f t="shared" si="3"/>
        <v>1356.7099999999996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'May 2023'!H10</f>
        <v>0</v>
      </c>
      <c r="D10" s="9">
        <v>0</v>
      </c>
      <c r="E10" s="9">
        <f>'May 2023'!E10+'June 2023'!D10</f>
        <v>0</v>
      </c>
      <c r="F10" s="9">
        <v>0</v>
      </c>
      <c r="G10" s="9">
        <f>'May 2023'!G10+'June 2023'!F10</f>
        <v>0</v>
      </c>
      <c r="H10" s="9">
        <f t="shared" si="0"/>
        <v>0</v>
      </c>
      <c r="I10" s="9">
        <f>'May 2023'!N10</f>
        <v>147.51000000000008</v>
      </c>
      <c r="J10" s="9">
        <v>0.06</v>
      </c>
      <c r="K10" s="9">
        <f>'May 2023'!K10+'June 2023'!J10</f>
        <v>0.34500000000000003</v>
      </c>
      <c r="L10" s="9">
        <v>0</v>
      </c>
      <c r="M10" s="9">
        <f>'May 2023'!M10+'June 2023'!L10</f>
        <v>0</v>
      </c>
      <c r="N10" s="9">
        <f t="shared" si="1"/>
        <v>147.57000000000008</v>
      </c>
      <c r="O10" s="10">
        <f>'May 2023'!T10</f>
        <v>234.27999999999997</v>
      </c>
      <c r="P10" s="9">
        <v>0</v>
      </c>
      <c r="Q10" s="9">
        <f>'May 2023'!Q10+'June 2023'!P10</f>
        <v>0</v>
      </c>
      <c r="R10" s="9">
        <v>0</v>
      </c>
      <c r="S10" s="9">
        <f>'May 2023'!S10+'June 2023'!R10</f>
        <v>0</v>
      </c>
      <c r="T10" s="10">
        <f t="shared" si="2"/>
        <v>234.27999999999997</v>
      </c>
      <c r="U10" s="10">
        <f t="shared" si="3"/>
        <v>381.85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'May 2023'!H11</f>
        <v>1235.9050000000002</v>
      </c>
      <c r="D11" s="15">
        <f t="shared" ref="D11:U11" si="4">SUM(D7:D10)</f>
        <v>0.15</v>
      </c>
      <c r="E11" s="15">
        <f t="shared" si="4"/>
        <v>0.51</v>
      </c>
      <c r="F11" s="15">
        <f t="shared" si="4"/>
        <v>0</v>
      </c>
      <c r="G11" s="15">
        <f t="shared" si="4"/>
        <v>0</v>
      </c>
      <c r="H11" s="15">
        <f t="shared" si="4"/>
        <v>1236.0550000000003</v>
      </c>
      <c r="I11" s="15">
        <f>'May 2023'!N11</f>
        <v>690.03399999999999</v>
      </c>
      <c r="J11" s="15">
        <f t="shared" si="4"/>
        <v>41.708000000000006</v>
      </c>
      <c r="K11" s="15">
        <f t="shared" si="4"/>
        <v>51.234000000000002</v>
      </c>
      <c r="L11" s="15">
        <f t="shared" si="4"/>
        <v>0</v>
      </c>
      <c r="M11" s="15">
        <f t="shared" si="4"/>
        <v>0</v>
      </c>
      <c r="N11" s="15">
        <f t="shared" si="4"/>
        <v>731.74200000000008</v>
      </c>
      <c r="O11" s="41">
        <f>'May 2023'!T11</f>
        <v>1137.3500000000001</v>
      </c>
      <c r="P11" s="15">
        <f t="shared" si="4"/>
        <v>77.66</v>
      </c>
      <c r="Q11" s="15">
        <f t="shared" si="4"/>
        <v>207.73</v>
      </c>
      <c r="R11" s="15">
        <f t="shared" si="4"/>
        <v>19.239999999999998</v>
      </c>
      <c r="S11" s="15">
        <f t="shared" si="4"/>
        <v>19.239999999999998</v>
      </c>
      <c r="T11" s="15">
        <f t="shared" si="4"/>
        <v>1195.77</v>
      </c>
      <c r="U11" s="15">
        <f t="shared" si="4"/>
        <v>3163.567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'May 2023'!H12</f>
        <v>218.88999999999885</v>
      </c>
      <c r="D12" s="9">
        <v>0</v>
      </c>
      <c r="E12" s="9">
        <f>'May 2023'!E12+'June 2023'!D12</f>
        <v>0</v>
      </c>
      <c r="F12" s="9">
        <v>0</v>
      </c>
      <c r="G12" s="9">
        <f>'May 2023'!G12+'June 2023'!F12</f>
        <v>0</v>
      </c>
      <c r="H12" s="9">
        <f t="shared" si="0"/>
        <v>218.88999999999885</v>
      </c>
      <c r="I12" s="9">
        <f>'May 2023'!N12</f>
        <v>90.582999999999998</v>
      </c>
      <c r="J12" s="9">
        <v>0.33</v>
      </c>
      <c r="K12" s="9">
        <f>'May 2023'!K12+'June 2023'!J12</f>
        <v>1.03</v>
      </c>
      <c r="L12" s="9">
        <v>0</v>
      </c>
      <c r="M12" s="9">
        <f>'May 2023'!M12+'June 2023'!L12</f>
        <v>0</v>
      </c>
      <c r="N12" s="9">
        <f t="shared" si="1"/>
        <v>90.912999999999997</v>
      </c>
      <c r="O12" s="10">
        <f>'May 2023'!T12</f>
        <v>1548.3</v>
      </c>
      <c r="P12" s="9">
        <v>0.09</v>
      </c>
      <c r="Q12" s="9">
        <f>'May 2023'!Q12+'June 2023'!P12</f>
        <v>0.37</v>
      </c>
      <c r="R12" s="9">
        <v>0</v>
      </c>
      <c r="S12" s="9">
        <f>'May 2023'!S12+'June 2023'!R12</f>
        <v>0</v>
      </c>
      <c r="T12" s="10">
        <f t="shared" si="2"/>
        <v>1548.3899999999999</v>
      </c>
      <c r="U12" s="10">
        <f t="shared" si="3"/>
        <v>1858.1929999999988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'May 2023'!H13</f>
        <v>1023.7699999999998</v>
      </c>
      <c r="D13" s="9">
        <v>0</v>
      </c>
      <c r="E13" s="9">
        <f>'May 2023'!E13+'June 2023'!D13</f>
        <v>0</v>
      </c>
      <c r="F13" s="9">
        <v>0</v>
      </c>
      <c r="G13" s="9">
        <f>'May 2023'!G13+'June 2023'!F13</f>
        <v>0</v>
      </c>
      <c r="H13" s="9">
        <f t="shared" si="0"/>
        <v>1023.7699999999998</v>
      </c>
      <c r="I13" s="9">
        <f>'May 2023'!N13</f>
        <v>159.53400000000008</v>
      </c>
      <c r="J13" s="9">
        <v>0.81</v>
      </c>
      <c r="K13" s="9">
        <f>'May 2023'!K13+'June 2023'!J13</f>
        <v>2.68</v>
      </c>
      <c r="L13" s="9">
        <v>0</v>
      </c>
      <c r="M13" s="9">
        <f>'May 2023'!M13+'June 2023'!L13</f>
        <v>0</v>
      </c>
      <c r="N13" s="9">
        <f t="shared" si="1"/>
        <v>160.34400000000008</v>
      </c>
      <c r="O13" s="10">
        <f>'May 2023'!T13</f>
        <v>87.2</v>
      </c>
      <c r="P13" s="9">
        <v>0</v>
      </c>
      <c r="Q13" s="9">
        <f>'May 2023'!Q13+'June 2023'!P13</f>
        <v>0</v>
      </c>
      <c r="R13" s="9">
        <v>0</v>
      </c>
      <c r="S13" s="9">
        <f>'May 2023'!S13+'June 2023'!R13</f>
        <v>0</v>
      </c>
      <c r="T13" s="10">
        <f t="shared" si="2"/>
        <v>87.2</v>
      </c>
      <c r="U13" s="10">
        <f t="shared" si="3"/>
        <v>1271.3139999999999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'May 2023'!H14</f>
        <v>2084.0799999999995</v>
      </c>
      <c r="D14" s="9">
        <v>0</v>
      </c>
      <c r="E14" s="9">
        <f>'May 2023'!E14+'June 2023'!D14</f>
        <v>0</v>
      </c>
      <c r="F14" s="9">
        <v>0</v>
      </c>
      <c r="G14" s="9">
        <f>'May 2023'!G14+'June 2023'!F14</f>
        <v>0.5</v>
      </c>
      <c r="H14" s="9">
        <f t="shared" si="0"/>
        <v>2084.0799999999995</v>
      </c>
      <c r="I14" s="9">
        <f>'May 2023'!N14</f>
        <v>211.584</v>
      </c>
      <c r="J14" s="9">
        <v>1.23</v>
      </c>
      <c r="K14" s="9">
        <f>'May 2023'!K14+'June 2023'!J14</f>
        <v>3.68</v>
      </c>
      <c r="L14" s="9">
        <v>0</v>
      </c>
      <c r="M14" s="9">
        <f>'May 2023'!M14+'June 2023'!L14</f>
        <v>0</v>
      </c>
      <c r="N14" s="9">
        <f t="shared" si="1"/>
        <v>212.81399999999999</v>
      </c>
      <c r="O14" s="10">
        <f>'May 2023'!T14</f>
        <v>403.78999999999996</v>
      </c>
      <c r="P14" s="9">
        <v>0.32</v>
      </c>
      <c r="Q14" s="9">
        <f>'May 2023'!Q14+'June 2023'!P14</f>
        <v>0.53</v>
      </c>
      <c r="R14" s="9">
        <v>0</v>
      </c>
      <c r="S14" s="9">
        <f>'May 2023'!S14+'June 2023'!R14</f>
        <v>0</v>
      </c>
      <c r="T14" s="10">
        <f t="shared" si="2"/>
        <v>404.10999999999996</v>
      </c>
      <c r="U14" s="10">
        <f t="shared" si="3"/>
        <v>2701.0039999999995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'May 2023'!H15</f>
        <v>3326.739999999998</v>
      </c>
      <c r="D15" s="15">
        <f t="shared" ref="D15:U15" si="5">SUM(D12:D14)</f>
        <v>0</v>
      </c>
      <c r="E15" s="15">
        <f t="shared" si="5"/>
        <v>0</v>
      </c>
      <c r="F15" s="15">
        <f t="shared" si="5"/>
        <v>0</v>
      </c>
      <c r="G15" s="15">
        <f t="shared" si="5"/>
        <v>0.5</v>
      </c>
      <c r="H15" s="15">
        <f t="shared" si="5"/>
        <v>3326.739999999998</v>
      </c>
      <c r="I15" s="15">
        <f>'May 2023'!N15</f>
        <v>461.70100000000008</v>
      </c>
      <c r="J15" s="15">
        <f t="shared" si="5"/>
        <v>2.37</v>
      </c>
      <c r="K15" s="15">
        <f t="shared" si="5"/>
        <v>7.3900000000000006</v>
      </c>
      <c r="L15" s="15">
        <f t="shared" si="5"/>
        <v>0</v>
      </c>
      <c r="M15" s="15">
        <f t="shared" si="5"/>
        <v>0</v>
      </c>
      <c r="N15" s="15">
        <f t="shared" si="5"/>
        <v>464.07100000000003</v>
      </c>
      <c r="O15" s="41">
        <f>'May 2023'!T15</f>
        <v>2039.29</v>
      </c>
      <c r="P15" s="15">
        <f t="shared" si="5"/>
        <v>0.41000000000000003</v>
      </c>
      <c r="Q15" s="15">
        <f t="shared" si="5"/>
        <v>0.9</v>
      </c>
      <c r="R15" s="15">
        <f t="shared" si="5"/>
        <v>0</v>
      </c>
      <c r="S15" s="15">
        <f t="shared" si="5"/>
        <v>0</v>
      </c>
      <c r="T15" s="15">
        <f t="shared" si="5"/>
        <v>2039.6999999999998</v>
      </c>
      <c r="U15" s="15">
        <f t="shared" si="5"/>
        <v>5830.5109999999986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'May 2023'!H16</f>
        <v>1310.7019999999993</v>
      </c>
      <c r="D16" s="9">
        <v>2.5</v>
      </c>
      <c r="E16" s="9">
        <f>'May 2023'!E16+'June 2023'!D16</f>
        <v>5.87</v>
      </c>
      <c r="F16" s="9">
        <v>0</v>
      </c>
      <c r="G16" s="9">
        <f>'May 2023'!G16+'June 2023'!F16</f>
        <v>0</v>
      </c>
      <c r="H16" s="9">
        <f t="shared" si="0"/>
        <v>1313.2019999999993</v>
      </c>
      <c r="I16" s="9">
        <f>'May 2023'!N16</f>
        <v>114.13000000000005</v>
      </c>
      <c r="J16" s="9">
        <v>0.08</v>
      </c>
      <c r="K16" s="9">
        <f>'May 2023'!K16+'June 2023'!J16</f>
        <v>0.24</v>
      </c>
      <c r="L16" s="9">
        <v>0</v>
      </c>
      <c r="M16" s="9">
        <f>'May 2023'!M16+'June 2023'!L16</f>
        <v>0</v>
      </c>
      <c r="N16" s="9">
        <f t="shared" si="1"/>
        <v>114.21000000000005</v>
      </c>
      <c r="O16" s="10">
        <f>'May 2023'!T16</f>
        <v>962.45900000000017</v>
      </c>
      <c r="P16" s="9">
        <v>2.5</v>
      </c>
      <c r="Q16" s="9">
        <f>'May 2023'!Q16+'June 2023'!P16</f>
        <v>89.71</v>
      </c>
      <c r="R16" s="9">
        <v>0</v>
      </c>
      <c r="S16" s="9">
        <f>'May 2023'!S16+'June 2023'!R16</f>
        <v>0</v>
      </c>
      <c r="T16" s="10">
        <f t="shared" si="2"/>
        <v>964.95900000000017</v>
      </c>
      <c r="U16" s="10">
        <f t="shared" si="3"/>
        <v>2392.3709999999996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'May 2023'!H17</f>
        <v>236.65399999999988</v>
      </c>
      <c r="D17" s="9">
        <v>0</v>
      </c>
      <c r="E17" s="9">
        <f>'May 2023'!E17+'June 2023'!D17</f>
        <v>0</v>
      </c>
      <c r="F17" s="9">
        <v>0</v>
      </c>
      <c r="G17" s="9">
        <f>'May 2023'!G17+'June 2023'!F17</f>
        <v>2.7</v>
      </c>
      <c r="H17" s="9">
        <f t="shared" si="0"/>
        <v>236.65399999999988</v>
      </c>
      <c r="I17" s="9">
        <f>'May 2023'!N17</f>
        <v>30.036999999999992</v>
      </c>
      <c r="J17" s="9">
        <v>0.14000000000000001</v>
      </c>
      <c r="K17" s="9">
        <f>'May 2023'!K17+'June 2023'!J17</f>
        <v>0.48</v>
      </c>
      <c r="L17" s="9">
        <v>0</v>
      </c>
      <c r="M17" s="9">
        <f>'May 2023'!M17+'June 2023'!L17</f>
        <v>0</v>
      </c>
      <c r="N17" s="9">
        <f t="shared" si="1"/>
        <v>30.176999999999992</v>
      </c>
      <c r="O17" s="10">
        <f>'May 2023'!T17</f>
        <v>501.90100000000001</v>
      </c>
      <c r="P17" s="9">
        <v>0</v>
      </c>
      <c r="Q17" s="9">
        <f>'May 2023'!Q17+'June 2023'!P17</f>
        <v>87.36</v>
      </c>
      <c r="R17" s="9">
        <v>0</v>
      </c>
      <c r="S17" s="9">
        <f>'May 2023'!S17+'June 2023'!R17</f>
        <v>0</v>
      </c>
      <c r="T17" s="10">
        <f t="shared" si="2"/>
        <v>501.90100000000001</v>
      </c>
      <c r="U17" s="10">
        <f t="shared" si="3"/>
        <v>768.73199999999997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'May 2023'!H18</f>
        <v>478.13499999999931</v>
      </c>
      <c r="D18" s="9">
        <v>0</v>
      </c>
      <c r="E18" s="9">
        <f>'May 2023'!E18+'June 2023'!D18</f>
        <v>0</v>
      </c>
      <c r="F18" s="9">
        <v>0</v>
      </c>
      <c r="G18" s="9">
        <f>'May 2023'!G18+'June 2023'!F18</f>
        <v>0</v>
      </c>
      <c r="H18" s="9">
        <f t="shared" si="0"/>
        <v>478.13499999999931</v>
      </c>
      <c r="I18" s="9">
        <f>'May 2023'!N18</f>
        <v>15.159999999999989</v>
      </c>
      <c r="J18" s="9">
        <v>0</v>
      </c>
      <c r="K18" s="9">
        <f>'May 2023'!K18+'June 2023'!J18</f>
        <v>0.14000000000000001</v>
      </c>
      <c r="L18" s="9">
        <v>0</v>
      </c>
      <c r="M18" s="9">
        <f>'May 2023'!M18+'June 2023'!L18</f>
        <v>0.12</v>
      </c>
      <c r="N18" s="9">
        <f t="shared" si="1"/>
        <v>15.159999999999989</v>
      </c>
      <c r="O18" s="10">
        <f>'May 2023'!T18</f>
        <v>480.89799999999997</v>
      </c>
      <c r="P18" s="9">
        <v>0</v>
      </c>
      <c r="Q18" s="9">
        <f>'May 2023'!Q18+'June 2023'!P18</f>
        <v>0.06</v>
      </c>
      <c r="R18" s="9">
        <v>0</v>
      </c>
      <c r="S18" s="9">
        <f>'May 2023'!S18+'June 2023'!R18</f>
        <v>0</v>
      </c>
      <c r="T18" s="10">
        <f t="shared" si="2"/>
        <v>480.89799999999997</v>
      </c>
      <c r="U18" s="10">
        <f t="shared" si="3"/>
        <v>974.1929999999993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'May 2023'!H19</f>
        <v>2025.4909999999986</v>
      </c>
      <c r="D19" s="15">
        <f t="shared" ref="D19:U19" si="6">SUM(D16:D18)</f>
        <v>2.5</v>
      </c>
      <c r="E19" s="15">
        <f t="shared" si="6"/>
        <v>5.87</v>
      </c>
      <c r="F19" s="15">
        <f t="shared" si="6"/>
        <v>0</v>
      </c>
      <c r="G19" s="15">
        <f t="shared" si="6"/>
        <v>2.7</v>
      </c>
      <c r="H19" s="15">
        <f t="shared" si="6"/>
        <v>2027.9909999999986</v>
      </c>
      <c r="I19" s="15">
        <f>'May 2023'!N19</f>
        <v>159.32700000000003</v>
      </c>
      <c r="J19" s="15">
        <f t="shared" si="6"/>
        <v>0.22000000000000003</v>
      </c>
      <c r="K19" s="15">
        <f t="shared" si="6"/>
        <v>0.86</v>
      </c>
      <c r="L19" s="15">
        <f t="shared" si="6"/>
        <v>0</v>
      </c>
      <c r="M19" s="15">
        <f t="shared" si="6"/>
        <v>0.12</v>
      </c>
      <c r="N19" s="15">
        <f t="shared" si="6"/>
        <v>159.54700000000005</v>
      </c>
      <c r="O19" s="41">
        <f>'May 2023'!T19</f>
        <v>1945.258</v>
      </c>
      <c r="P19" s="15">
        <f t="shared" si="6"/>
        <v>2.5</v>
      </c>
      <c r="Q19" s="15">
        <f t="shared" si="6"/>
        <v>177.13</v>
      </c>
      <c r="R19" s="15">
        <f t="shared" si="6"/>
        <v>0</v>
      </c>
      <c r="S19" s="15">
        <f t="shared" si="6"/>
        <v>0</v>
      </c>
      <c r="T19" s="15">
        <f t="shared" si="6"/>
        <v>1947.758</v>
      </c>
      <c r="U19" s="15">
        <f t="shared" si="6"/>
        <v>4135.2959999999985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'May 2023'!H20</f>
        <v>1024.4549999999992</v>
      </c>
      <c r="D20" s="9">
        <v>0</v>
      </c>
      <c r="E20" s="9">
        <f>'May 2023'!E20+'June 2023'!D20</f>
        <v>0</v>
      </c>
      <c r="F20" s="9">
        <v>0</v>
      </c>
      <c r="G20" s="9">
        <f>'May 2023'!G20+'June 2023'!F20</f>
        <v>0</v>
      </c>
      <c r="H20" s="9">
        <f t="shared" si="0"/>
        <v>1024.4549999999992</v>
      </c>
      <c r="I20" s="9">
        <f>'May 2023'!N20</f>
        <v>155.91100000000012</v>
      </c>
      <c r="J20" s="9">
        <v>0.43</v>
      </c>
      <c r="K20" s="9">
        <f>'May 2023'!K20+'June 2023'!J20</f>
        <v>1.0999999999999999</v>
      </c>
      <c r="L20" s="9">
        <v>0</v>
      </c>
      <c r="M20" s="9">
        <f>'May 2023'!M20+'June 2023'!L20</f>
        <v>0</v>
      </c>
      <c r="N20" s="9">
        <f t="shared" si="1"/>
        <v>156.34100000000012</v>
      </c>
      <c r="O20" s="10">
        <f>'May 2023'!T20</f>
        <v>743.10099999999989</v>
      </c>
      <c r="P20" s="9">
        <v>0</v>
      </c>
      <c r="Q20" s="9">
        <f>'May 2023'!Q20+'June 2023'!P20</f>
        <v>0.38</v>
      </c>
      <c r="R20" s="9">
        <v>0</v>
      </c>
      <c r="S20" s="9">
        <f>'May 2023'!S20+'June 2023'!R20</f>
        <v>0</v>
      </c>
      <c r="T20" s="10">
        <f t="shared" si="2"/>
        <v>743.10099999999989</v>
      </c>
      <c r="U20" s="10">
        <f t="shared" si="3"/>
        <v>1923.8969999999993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'May 2023'!H21</f>
        <v>142.68999999999988</v>
      </c>
      <c r="D21" s="9">
        <v>0</v>
      </c>
      <c r="E21" s="9">
        <f>'May 2023'!E21+'June 2023'!D21</f>
        <v>0</v>
      </c>
      <c r="F21" s="9">
        <v>0</v>
      </c>
      <c r="G21" s="9">
        <f>'May 2023'!G21+'June 2023'!F21</f>
        <v>0</v>
      </c>
      <c r="H21" s="9">
        <f t="shared" si="0"/>
        <v>142.68999999999988</v>
      </c>
      <c r="I21" s="9">
        <f>'May 2023'!N21</f>
        <v>55.103000000000016</v>
      </c>
      <c r="J21" s="9">
        <v>0.02</v>
      </c>
      <c r="K21" s="9">
        <f>'May 2023'!K21+'June 2023'!J21</f>
        <v>2.3400000000000003</v>
      </c>
      <c r="L21" s="9">
        <v>0</v>
      </c>
      <c r="M21" s="9">
        <f>'May 2023'!M21+'June 2023'!L21</f>
        <v>0</v>
      </c>
      <c r="N21" s="9">
        <f t="shared" si="1"/>
        <v>55.123000000000019</v>
      </c>
      <c r="O21" s="10">
        <f>'May 2023'!T21</f>
        <v>311.33999999999997</v>
      </c>
      <c r="P21" s="9">
        <v>0.44</v>
      </c>
      <c r="Q21" s="9">
        <f>'May 2023'!Q21+'June 2023'!P21</f>
        <v>0.88</v>
      </c>
      <c r="R21" s="9">
        <v>0</v>
      </c>
      <c r="S21" s="9">
        <f>'May 2023'!S21+'June 2023'!R21</f>
        <v>0</v>
      </c>
      <c r="T21" s="10">
        <f t="shared" si="2"/>
        <v>311.77999999999997</v>
      </c>
      <c r="U21" s="10">
        <f t="shared" si="3"/>
        <v>509.59299999999985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'May 2023'!H22</f>
        <v>27.069999999999879</v>
      </c>
      <c r="D22" s="9">
        <v>0</v>
      </c>
      <c r="E22" s="9">
        <f>'May 2023'!E22+'June 2023'!D22</f>
        <v>0</v>
      </c>
      <c r="F22" s="9">
        <v>0</v>
      </c>
      <c r="G22" s="9">
        <f>'May 2023'!G22+'June 2023'!F22</f>
        <v>0</v>
      </c>
      <c r="H22" s="9">
        <f t="shared" si="0"/>
        <v>27.069999999999879</v>
      </c>
      <c r="I22" s="9">
        <f>'May 2023'!N22</f>
        <v>15.940000000000005</v>
      </c>
      <c r="J22" s="9">
        <v>0</v>
      </c>
      <c r="K22" s="9">
        <f>'May 2023'!K22+'June 2023'!J22</f>
        <v>0</v>
      </c>
      <c r="L22" s="9">
        <v>0</v>
      </c>
      <c r="M22" s="9">
        <f>'May 2023'!M22+'June 2023'!L22</f>
        <v>0</v>
      </c>
      <c r="N22" s="9">
        <f t="shared" si="1"/>
        <v>15.940000000000005</v>
      </c>
      <c r="O22" s="10">
        <f>'May 2023'!T22</f>
        <v>776.38999999999976</v>
      </c>
      <c r="P22" s="9">
        <v>0.01</v>
      </c>
      <c r="Q22" s="9">
        <f>'May 2023'!Q22+'June 2023'!P22</f>
        <v>0.37</v>
      </c>
      <c r="R22" s="9">
        <v>0</v>
      </c>
      <c r="S22" s="9">
        <f>'May 2023'!S22+'June 2023'!R22</f>
        <v>0</v>
      </c>
      <c r="T22" s="10">
        <f t="shared" si="2"/>
        <v>776.39999999999975</v>
      </c>
      <c r="U22" s="10">
        <f t="shared" si="3"/>
        <v>819.40999999999963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'May 2023'!H23</f>
        <v>1136.9719999999998</v>
      </c>
      <c r="D23" s="9">
        <v>2.77</v>
      </c>
      <c r="E23" s="9">
        <f>'May 2023'!E23+'June 2023'!D23</f>
        <v>6.54</v>
      </c>
      <c r="F23" s="9">
        <v>0</v>
      </c>
      <c r="G23" s="9">
        <f>'May 2023'!G23+'June 2023'!F23</f>
        <v>0</v>
      </c>
      <c r="H23" s="9">
        <f t="shared" si="0"/>
        <v>1139.7419999999997</v>
      </c>
      <c r="I23" s="9">
        <f>'May 2023'!N23</f>
        <v>51.22399999999999</v>
      </c>
      <c r="J23" s="9">
        <v>1.4</v>
      </c>
      <c r="K23" s="9">
        <f>'May 2023'!K23+'June 2023'!J23</f>
        <v>2.42</v>
      </c>
      <c r="L23" s="9">
        <v>0</v>
      </c>
      <c r="M23" s="9">
        <f>'May 2023'!M23+'June 2023'!L23</f>
        <v>0</v>
      </c>
      <c r="N23" s="9">
        <f t="shared" si="1"/>
        <v>52.623999999999988</v>
      </c>
      <c r="O23" s="10">
        <f>'May 2023'!T23</f>
        <v>405.565</v>
      </c>
      <c r="P23" s="9">
        <v>1.53</v>
      </c>
      <c r="Q23" s="9">
        <f>'May 2023'!Q23+'June 2023'!P23</f>
        <v>2.2599999999999998</v>
      </c>
      <c r="R23" s="9">
        <v>0</v>
      </c>
      <c r="S23" s="9">
        <f>'May 2023'!S23+'June 2023'!R23</f>
        <v>0</v>
      </c>
      <c r="T23" s="10">
        <f t="shared" si="2"/>
        <v>407.09499999999997</v>
      </c>
      <c r="U23" s="10">
        <f t="shared" si="3"/>
        <v>1599.4609999999998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'May 2023'!H24</f>
        <v>2331.186999999999</v>
      </c>
      <c r="D24" s="15">
        <f t="shared" ref="D24:U24" si="7">SUM(D20:D23)</f>
        <v>2.77</v>
      </c>
      <c r="E24" s="15">
        <f t="shared" si="7"/>
        <v>6.54</v>
      </c>
      <c r="F24" s="15">
        <f t="shared" si="7"/>
        <v>0</v>
      </c>
      <c r="G24" s="15">
        <f t="shared" si="7"/>
        <v>0</v>
      </c>
      <c r="H24" s="15">
        <f t="shared" si="7"/>
        <v>2333.9569999999985</v>
      </c>
      <c r="I24" s="15">
        <f>'May 2023'!N24</f>
        <v>278.17800000000011</v>
      </c>
      <c r="J24" s="15">
        <f t="shared" si="7"/>
        <v>1.8499999999999999</v>
      </c>
      <c r="K24" s="15">
        <f t="shared" si="7"/>
        <v>5.86</v>
      </c>
      <c r="L24" s="15">
        <f t="shared" si="7"/>
        <v>0</v>
      </c>
      <c r="M24" s="15">
        <f t="shared" si="7"/>
        <v>0</v>
      </c>
      <c r="N24" s="15">
        <f t="shared" si="7"/>
        <v>280.02800000000013</v>
      </c>
      <c r="O24" s="41">
        <f>'May 2023'!T24</f>
        <v>2236.3959999999997</v>
      </c>
      <c r="P24" s="15">
        <f t="shared" si="7"/>
        <v>1.98</v>
      </c>
      <c r="Q24" s="15">
        <f t="shared" si="7"/>
        <v>3.8899999999999997</v>
      </c>
      <c r="R24" s="15">
        <f t="shared" si="7"/>
        <v>0</v>
      </c>
      <c r="S24" s="15">
        <f t="shared" si="7"/>
        <v>0</v>
      </c>
      <c r="T24" s="15">
        <f t="shared" si="7"/>
        <v>2238.3759999999993</v>
      </c>
      <c r="U24" s="15">
        <f t="shared" si="7"/>
        <v>4852.360999999999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'May 2023'!H25</f>
        <v>8919.3229999999967</v>
      </c>
      <c r="D25" s="15">
        <f t="shared" ref="D25:U25" si="8">D24+D19+D15+D11</f>
        <v>5.42</v>
      </c>
      <c r="E25" s="15">
        <f t="shared" si="8"/>
        <v>12.92</v>
      </c>
      <c r="F25" s="15">
        <f t="shared" si="8"/>
        <v>0</v>
      </c>
      <c r="G25" s="15">
        <f t="shared" si="8"/>
        <v>3.2</v>
      </c>
      <c r="H25" s="15">
        <f t="shared" si="8"/>
        <v>8924.7429999999949</v>
      </c>
      <c r="I25" s="15">
        <f>'May 2023'!N25</f>
        <v>1589.2400000000002</v>
      </c>
      <c r="J25" s="15">
        <f t="shared" si="8"/>
        <v>46.148000000000003</v>
      </c>
      <c r="K25" s="15">
        <f t="shared" si="8"/>
        <v>65.344000000000008</v>
      </c>
      <c r="L25" s="15">
        <f t="shared" si="8"/>
        <v>0</v>
      </c>
      <c r="M25" s="15">
        <f t="shared" si="8"/>
        <v>0.12</v>
      </c>
      <c r="N25" s="15">
        <f t="shared" si="8"/>
        <v>1635.3880000000004</v>
      </c>
      <c r="O25" s="41">
        <f>'May 2023'!T25</f>
        <v>7358.2939999999999</v>
      </c>
      <c r="P25" s="15">
        <f t="shared" si="8"/>
        <v>82.55</v>
      </c>
      <c r="Q25" s="15">
        <f t="shared" si="8"/>
        <v>389.65</v>
      </c>
      <c r="R25" s="15">
        <f t="shared" si="8"/>
        <v>19.239999999999998</v>
      </c>
      <c r="S25" s="15">
        <f t="shared" si="8"/>
        <v>19.239999999999998</v>
      </c>
      <c r="T25" s="15">
        <f t="shared" si="8"/>
        <v>7421.6039999999994</v>
      </c>
      <c r="U25" s="15">
        <f t="shared" si="8"/>
        <v>17981.734999999997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'May 2023'!H26</f>
        <v>1250.3919999999996</v>
      </c>
      <c r="D26" s="9">
        <v>2.68</v>
      </c>
      <c r="E26" s="9">
        <f>'May 2023'!E26+'June 2023'!D26</f>
        <v>15.09</v>
      </c>
      <c r="F26" s="9">
        <v>0</v>
      </c>
      <c r="G26" s="9">
        <f>'May 2023'!G26+'June 2023'!F26</f>
        <v>0.02</v>
      </c>
      <c r="H26" s="9">
        <f t="shared" si="0"/>
        <v>1253.0719999999997</v>
      </c>
      <c r="I26" s="9">
        <f>'May 2023'!N26</f>
        <v>0.76</v>
      </c>
      <c r="J26" s="9">
        <v>0</v>
      </c>
      <c r="K26" s="9">
        <f>'May 2023'!K26+'June 2023'!J26</f>
        <v>0.65</v>
      </c>
      <c r="L26" s="9">
        <v>0</v>
      </c>
      <c r="M26" s="9">
        <f>'May 2023'!M26+'June 2023'!L26</f>
        <v>0</v>
      </c>
      <c r="N26" s="9">
        <f t="shared" si="1"/>
        <v>0.76</v>
      </c>
      <c r="O26" s="10">
        <f>'May 2023'!T26</f>
        <v>205.70000000000002</v>
      </c>
      <c r="P26" s="9">
        <v>0.5</v>
      </c>
      <c r="Q26" s="9">
        <f>'May 2023'!Q26+'June 2023'!P26</f>
        <v>2.4699999999999998</v>
      </c>
      <c r="R26" s="9">
        <v>0</v>
      </c>
      <c r="S26" s="9">
        <f>'May 2023'!S26+'June 2023'!R26</f>
        <v>0</v>
      </c>
      <c r="T26" s="10">
        <f t="shared" si="2"/>
        <v>206.20000000000002</v>
      </c>
      <c r="U26" s="10">
        <f t="shared" si="3"/>
        <v>1460.0319999999997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'May 2023'!H27</f>
        <v>10431.566999999992</v>
      </c>
      <c r="D27" s="9">
        <v>10.52</v>
      </c>
      <c r="E27" s="9">
        <f>'May 2023'!E27+'June 2023'!D27</f>
        <v>27.93</v>
      </c>
      <c r="F27" s="9">
        <v>0</v>
      </c>
      <c r="G27" s="9">
        <f>'May 2023'!G27+'June 2023'!F27</f>
        <v>0</v>
      </c>
      <c r="H27" s="9">
        <f t="shared" si="0"/>
        <v>10442.086999999992</v>
      </c>
      <c r="I27" s="9">
        <f>'May 2023'!N27</f>
        <v>409.21499999999997</v>
      </c>
      <c r="J27" s="9">
        <v>6.28</v>
      </c>
      <c r="K27" s="9">
        <f>'May 2023'!K27+'June 2023'!J27</f>
        <v>7.0600000000000005</v>
      </c>
      <c r="L27" s="9">
        <v>0</v>
      </c>
      <c r="M27" s="9">
        <f>'May 2023'!M27+'June 2023'!L27</f>
        <v>0</v>
      </c>
      <c r="N27" s="9">
        <f t="shared" si="1"/>
        <v>415.49499999999995</v>
      </c>
      <c r="O27" s="10">
        <f>'May 2023'!T27</f>
        <v>43.840000000000018</v>
      </c>
      <c r="P27" s="9">
        <v>0.54</v>
      </c>
      <c r="Q27" s="9">
        <f>'May 2023'!Q27+'June 2023'!P27</f>
        <v>0.8600000000000001</v>
      </c>
      <c r="R27" s="9">
        <v>0</v>
      </c>
      <c r="S27" s="9">
        <f>'May 2023'!S27+'June 2023'!R27</f>
        <v>0</v>
      </c>
      <c r="T27" s="10">
        <f t="shared" si="2"/>
        <v>44.380000000000017</v>
      </c>
      <c r="U27" s="10">
        <f t="shared" si="3"/>
        <v>10901.961999999992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'May 2023'!H28</f>
        <v>11681.958999999992</v>
      </c>
      <c r="D28" s="15">
        <f t="shared" ref="D28:U28" si="9">SUM(D26:D27)</f>
        <v>13.2</v>
      </c>
      <c r="E28" s="15">
        <f t="shared" si="9"/>
        <v>43.019999999999996</v>
      </c>
      <c r="F28" s="15">
        <f t="shared" si="9"/>
        <v>0</v>
      </c>
      <c r="G28" s="15">
        <f t="shared" si="9"/>
        <v>0.02</v>
      </c>
      <c r="H28" s="15">
        <f t="shared" si="9"/>
        <v>11695.158999999992</v>
      </c>
      <c r="I28" s="15">
        <f>'May 2023'!N28</f>
        <v>409.97499999999997</v>
      </c>
      <c r="J28" s="15">
        <f t="shared" si="9"/>
        <v>6.28</v>
      </c>
      <c r="K28" s="15">
        <f t="shared" si="9"/>
        <v>7.7100000000000009</v>
      </c>
      <c r="L28" s="15">
        <f t="shared" si="9"/>
        <v>0</v>
      </c>
      <c r="M28" s="15">
        <f t="shared" si="9"/>
        <v>0</v>
      </c>
      <c r="N28" s="15">
        <f t="shared" si="9"/>
        <v>416.25499999999994</v>
      </c>
      <c r="O28" s="41">
        <f>'May 2023'!T28</f>
        <v>249.54000000000002</v>
      </c>
      <c r="P28" s="15">
        <f t="shared" si="9"/>
        <v>1.04</v>
      </c>
      <c r="Q28" s="15">
        <f t="shared" si="9"/>
        <v>3.33</v>
      </c>
      <c r="R28" s="15">
        <f t="shared" si="9"/>
        <v>0</v>
      </c>
      <c r="S28" s="15">
        <f t="shared" si="9"/>
        <v>0</v>
      </c>
      <c r="T28" s="15">
        <f t="shared" si="9"/>
        <v>250.58000000000004</v>
      </c>
      <c r="U28" s="15">
        <f t="shared" si="9"/>
        <v>12361.993999999992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'May 2023'!H29</f>
        <v>4578.6990000000014</v>
      </c>
      <c r="D29" s="9">
        <v>18.36</v>
      </c>
      <c r="E29" s="9">
        <f>'May 2023'!E29+'June 2023'!D29</f>
        <v>46.019999999999996</v>
      </c>
      <c r="F29" s="9">
        <v>0</v>
      </c>
      <c r="G29" s="9">
        <f>'May 2023'!G29+'June 2023'!F29</f>
        <v>0</v>
      </c>
      <c r="H29" s="9">
        <f t="shared" si="0"/>
        <v>4597.0590000000011</v>
      </c>
      <c r="I29" s="9">
        <f>'May 2023'!N29</f>
        <v>184.70000000000002</v>
      </c>
      <c r="J29" s="9">
        <v>0</v>
      </c>
      <c r="K29" s="9">
        <f>'May 2023'!K29+'June 2023'!J29</f>
        <v>0</v>
      </c>
      <c r="L29" s="9">
        <v>0</v>
      </c>
      <c r="M29" s="9">
        <f>'May 2023'!M29+'June 2023'!L29</f>
        <v>0</v>
      </c>
      <c r="N29" s="9">
        <f t="shared" si="1"/>
        <v>184.70000000000002</v>
      </c>
      <c r="O29" s="10">
        <f>'May 2023'!T29</f>
        <v>557.62599999999998</v>
      </c>
      <c r="P29" s="9">
        <f>0.6+40.89+7.67</f>
        <v>49.160000000000004</v>
      </c>
      <c r="Q29" s="9">
        <f>'May 2023'!Q29+'June 2023'!P29</f>
        <v>89.516000000000005</v>
      </c>
      <c r="R29" s="9">
        <v>0</v>
      </c>
      <c r="S29" s="9">
        <f>'May 2023'!S29+'June 2023'!R29</f>
        <v>0</v>
      </c>
      <c r="T29" s="10">
        <f t="shared" si="2"/>
        <v>606.78599999999994</v>
      </c>
      <c r="U29" s="10">
        <f t="shared" si="3"/>
        <v>5388.545000000001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'May 2023'!H30</f>
        <v>6483.5820000000022</v>
      </c>
      <c r="D30" s="9">
        <v>5.71</v>
      </c>
      <c r="E30" s="9">
        <f>'May 2023'!E30+'June 2023'!D30</f>
        <v>38.300000000000004</v>
      </c>
      <c r="F30" s="9">
        <v>0</v>
      </c>
      <c r="G30" s="9">
        <f>'May 2023'!G30+'June 2023'!F30</f>
        <v>0</v>
      </c>
      <c r="H30" s="9">
        <f t="shared" si="0"/>
        <v>6489.2920000000022</v>
      </c>
      <c r="I30" s="9">
        <f>'May 2023'!N30</f>
        <v>134.70000000000002</v>
      </c>
      <c r="J30" s="9">
        <v>0</v>
      </c>
      <c r="K30" s="9">
        <f>'May 2023'!K30+'June 2023'!J30</f>
        <v>3.9</v>
      </c>
      <c r="L30" s="9">
        <v>0</v>
      </c>
      <c r="M30" s="9">
        <f>'May 2023'!M30+'June 2023'!L30</f>
        <v>0</v>
      </c>
      <c r="N30" s="9">
        <f t="shared" si="1"/>
        <v>134.70000000000002</v>
      </c>
      <c r="O30" s="10">
        <f>'May 2023'!T30</f>
        <v>284.60000000000002</v>
      </c>
      <c r="P30" s="9">
        <v>0</v>
      </c>
      <c r="Q30" s="9">
        <f>'May 2023'!Q30+'June 2023'!P30</f>
        <v>89.82</v>
      </c>
      <c r="R30" s="9">
        <v>0</v>
      </c>
      <c r="S30" s="9">
        <f>'May 2023'!S30+'June 2023'!R30</f>
        <v>0</v>
      </c>
      <c r="T30" s="10">
        <f t="shared" si="2"/>
        <v>284.60000000000002</v>
      </c>
      <c r="U30" s="10">
        <f t="shared" si="3"/>
        <v>6908.5920000000024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'May 2023'!H31</f>
        <v>3135.9359999999997</v>
      </c>
      <c r="D31" s="9">
        <v>4.1509999999999998</v>
      </c>
      <c r="E31" s="9">
        <f>'May 2023'!E31+'June 2023'!D31</f>
        <v>11.731999999999999</v>
      </c>
      <c r="F31" s="9">
        <v>0</v>
      </c>
      <c r="G31" s="9">
        <f>'May 2023'!G31+'June 2023'!F31</f>
        <v>0</v>
      </c>
      <c r="H31" s="9">
        <f t="shared" si="0"/>
        <v>3140.0869999999995</v>
      </c>
      <c r="I31" s="9">
        <f>'May 2023'!N31</f>
        <v>50.180000000000007</v>
      </c>
      <c r="J31" s="9">
        <v>0</v>
      </c>
      <c r="K31" s="9">
        <f>'May 2023'!K31+'June 2023'!J31</f>
        <v>0</v>
      </c>
      <c r="L31" s="9">
        <v>0</v>
      </c>
      <c r="M31" s="9">
        <f>'May 2023'!M31+'June 2023'!L31</f>
        <v>0</v>
      </c>
      <c r="N31" s="9">
        <f t="shared" si="1"/>
        <v>50.180000000000007</v>
      </c>
      <c r="O31" s="10">
        <f>'May 2023'!T31</f>
        <v>244.44</v>
      </c>
      <c r="P31" s="9">
        <v>0</v>
      </c>
      <c r="Q31" s="9">
        <f>'May 2023'!Q31+'June 2023'!P31</f>
        <v>0</v>
      </c>
      <c r="R31" s="9">
        <v>0</v>
      </c>
      <c r="S31" s="9">
        <f>'May 2023'!S31+'June 2023'!R31</f>
        <v>0</v>
      </c>
      <c r="T31" s="10">
        <f t="shared" si="2"/>
        <v>244.44</v>
      </c>
      <c r="U31" s="10">
        <f t="shared" si="3"/>
        <v>3434.7069999999994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'May 2023'!H32</f>
        <v>4406.7999999999993</v>
      </c>
      <c r="D32" s="9">
        <v>4.01</v>
      </c>
      <c r="E32" s="9">
        <f>'May 2023'!E32+'June 2023'!D32</f>
        <v>9.5299999999999994</v>
      </c>
      <c r="F32" s="9">
        <v>0</v>
      </c>
      <c r="G32" s="9">
        <f>'May 2023'!G32+'June 2023'!F32</f>
        <v>0</v>
      </c>
      <c r="H32" s="9">
        <f t="shared" si="0"/>
        <v>4410.8099999999995</v>
      </c>
      <c r="I32" s="9">
        <f>'May 2023'!N32</f>
        <v>240.63999999999996</v>
      </c>
      <c r="J32" s="9">
        <v>2.19</v>
      </c>
      <c r="K32" s="9">
        <f>'May 2023'!K32+'June 2023'!J32</f>
        <v>16.450000000000003</v>
      </c>
      <c r="L32" s="9">
        <v>0</v>
      </c>
      <c r="M32" s="9">
        <f>'May 2023'!M32+'June 2023'!L32</f>
        <v>0</v>
      </c>
      <c r="N32" s="9">
        <f t="shared" si="1"/>
        <v>242.82999999999996</v>
      </c>
      <c r="O32" s="10">
        <f>'May 2023'!T32</f>
        <v>243.69999999999996</v>
      </c>
      <c r="P32" s="9">
        <v>0</v>
      </c>
      <c r="Q32" s="9">
        <f>'May 2023'!Q32+'June 2023'!P32</f>
        <v>0.05</v>
      </c>
      <c r="R32" s="9">
        <v>0</v>
      </c>
      <c r="S32" s="9">
        <f>'May 2023'!S32+'June 2023'!R32</f>
        <v>0</v>
      </c>
      <c r="T32" s="10">
        <f t="shared" si="2"/>
        <v>243.69999999999996</v>
      </c>
      <c r="U32" s="10">
        <f t="shared" si="3"/>
        <v>4897.3399999999992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'May 2023'!H33</f>
        <v>18605.017</v>
      </c>
      <c r="D33" s="15">
        <f t="shared" ref="D33:U33" si="10">SUM(D29:D32)</f>
        <v>32.231000000000002</v>
      </c>
      <c r="E33" s="15">
        <f t="shared" si="10"/>
        <v>105.58199999999999</v>
      </c>
      <c r="F33" s="15">
        <f t="shared" si="10"/>
        <v>0</v>
      </c>
      <c r="G33" s="15">
        <f t="shared" si="10"/>
        <v>0</v>
      </c>
      <c r="H33" s="15">
        <f t="shared" si="10"/>
        <v>18637.248</v>
      </c>
      <c r="I33" s="15">
        <f>'May 2023'!N33</f>
        <v>610.22</v>
      </c>
      <c r="J33" s="15">
        <f t="shared" si="10"/>
        <v>2.19</v>
      </c>
      <c r="K33" s="15">
        <f t="shared" si="10"/>
        <v>20.350000000000001</v>
      </c>
      <c r="L33" s="15">
        <f t="shared" si="10"/>
        <v>0</v>
      </c>
      <c r="M33" s="15">
        <f t="shared" si="10"/>
        <v>0</v>
      </c>
      <c r="N33" s="15">
        <f t="shared" si="10"/>
        <v>612.41</v>
      </c>
      <c r="O33" s="41">
        <f>'May 2023'!T33</f>
        <v>1330.366</v>
      </c>
      <c r="P33" s="15">
        <f t="shared" si="10"/>
        <v>49.160000000000004</v>
      </c>
      <c r="Q33" s="15">
        <f t="shared" si="10"/>
        <v>179.38600000000002</v>
      </c>
      <c r="R33" s="15">
        <f t="shared" si="10"/>
        <v>0</v>
      </c>
      <c r="S33" s="15">
        <f t="shared" si="10"/>
        <v>0</v>
      </c>
      <c r="T33" s="15">
        <f t="shared" si="10"/>
        <v>1379.5260000000001</v>
      </c>
      <c r="U33" s="15">
        <f t="shared" si="10"/>
        <v>20629.184000000001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'May 2023'!H34</f>
        <v>6210.2000000000025</v>
      </c>
      <c r="D34" s="9">
        <f>4.19+20.17</f>
        <v>24.360000000000003</v>
      </c>
      <c r="E34" s="9">
        <f>'May 2023'!E34+'June 2023'!D34</f>
        <v>106.56</v>
      </c>
      <c r="F34" s="9">
        <v>0</v>
      </c>
      <c r="G34" s="9">
        <f>'May 2023'!G34+'June 2023'!F34</f>
        <v>0</v>
      </c>
      <c r="H34" s="9">
        <f t="shared" si="0"/>
        <v>6234.5600000000022</v>
      </c>
      <c r="I34" s="9">
        <f>'May 2023'!N34</f>
        <v>2</v>
      </c>
      <c r="J34" s="9">
        <v>0</v>
      </c>
      <c r="K34" s="9">
        <f>'May 2023'!K34+'June 2023'!J34</f>
        <v>0</v>
      </c>
      <c r="L34" s="9">
        <v>0</v>
      </c>
      <c r="M34" s="9">
        <f>'May 2023'!M34+'June 2023'!L34</f>
        <v>0</v>
      </c>
      <c r="N34" s="9">
        <f t="shared" si="1"/>
        <v>2</v>
      </c>
      <c r="O34" s="10">
        <f>'May 2023'!T34</f>
        <v>38.880000000000003</v>
      </c>
      <c r="P34" s="9">
        <v>0</v>
      </c>
      <c r="Q34" s="9">
        <f>'May 2023'!Q34+'June 2023'!P34</f>
        <v>0.18</v>
      </c>
      <c r="R34" s="9">
        <v>0</v>
      </c>
      <c r="S34" s="9">
        <f>'May 2023'!S34+'June 2023'!R34</f>
        <v>0</v>
      </c>
      <c r="T34" s="10">
        <f t="shared" si="2"/>
        <v>38.880000000000003</v>
      </c>
      <c r="U34" s="10">
        <f t="shared" si="3"/>
        <v>6275.4400000000023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'May 2023'!H35</f>
        <v>5819.2750000000015</v>
      </c>
      <c r="D35" s="9">
        <f>23.61+437.5</f>
        <v>461.11</v>
      </c>
      <c r="E35" s="9">
        <f>'May 2023'!E35+'June 2023'!D35</f>
        <v>1370.62</v>
      </c>
      <c r="F35" s="9">
        <v>0</v>
      </c>
      <c r="G35" s="9">
        <f>'May 2023'!G35+'June 2023'!F35</f>
        <v>0</v>
      </c>
      <c r="H35" s="9">
        <f t="shared" si="0"/>
        <v>6280.3850000000011</v>
      </c>
      <c r="I35" s="9">
        <f>'May 2023'!N35</f>
        <v>0.1</v>
      </c>
      <c r="J35" s="9">
        <v>0</v>
      </c>
      <c r="K35" s="9">
        <f>'May 2023'!K35+'June 2023'!J35</f>
        <v>0</v>
      </c>
      <c r="L35" s="9">
        <v>0</v>
      </c>
      <c r="M35" s="9">
        <f>'May 2023'!M35+'June 2023'!L35</f>
        <v>0</v>
      </c>
      <c r="N35" s="9">
        <f t="shared" si="1"/>
        <v>0.1</v>
      </c>
      <c r="O35" s="10">
        <f>'May 2023'!T35</f>
        <v>125.47000000000001</v>
      </c>
      <c r="P35" s="9">
        <v>0</v>
      </c>
      <c r="Q35" s="9">
        <f>'May 2023'!Q35+'June 2023'!P35</f>
        <v>0</v>
      </c>
      <c r="R35" s="9">
        <v>0</v>
      </c>
      <c r="S35" s="9">
        <f>'May 2023'!S35+'June 2023'!R35</f>
        <v>0</v>
      </c>
      <c r="T35" s="10">
        <f t="shared" si="2"/>
        <v>125.47000000000001</v>
      </c>
      <c r="U35" s="10">
        <f t="shared" si="3"/>
        <v>6405.9550000000017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'May 2023'!H36</f>
        <v>20111.150000000005</v>
      </c>
      <c r="D36" s="9">
        <f>1.34+305.38</f>
        <v>306.71999999999997</v>
      </c>
      <c r="E36" s="9">
        <f>'May 2023'!E36+'June 2023'!D36</f>
        <v>948.84999999999991</v>
      </c>
      <c r="F36" s="9">
        <v>0</v>
      </c>
      <c r="G36" s="9">
        <f>'May 2023'!G36+'June 2023'!F36</f>
        <v>0</v>
      </c>
      <c r="H36" s="9">
        <f t="shared" si="0"/>
        <v>20417.870000000006</v>
      </c>
      <c r="I36" s="9">
        <f>'May 2023'!N36</f>
        <v>8.5</v>
      </c>
      <c r="J36" s="9">
        <v>0</v>
      </c>
      <c r="K36" s="9">
        <f>'May 2023'!K36+'June 2023'!J36</f>
        <v>0</v>
      </c>
      <c r="L36" s="9">
        <v>0</v>
      </c>
      <c r="M36" s="9">
        <f>'May 2023'!M36+'June 2023'!L36</f>
        <v>0</v>
      </c>
      <c r="N36" s="9">
        <f t="shared" si="1"/>
        <v>8.5</v>
      </c>
      <c r="O36" s="10">
        <f>'May 2023'!T36</f>
        <v>72.39</v>
      </c>
      <c r="P36" s="9">
        <v>0</v>
      </c>
      <c r="Q36" s="9">
        <f>'May 2023'!Q36+'June 2023'!P36</f>
        <v>0</v>
      </c>
      <c r="R36" s="9">
        <v>0</v>
      </c>
      <c r="S36" s="9">
        <f>'May 2023'!S36+'June 2023'!R36</f>
        <v>0</v>
      </c>
      <c r="T36" s="10">
        <f t="shared" si="2"/>
        <v>72.39</v>
      </c>
      <c r="U36" s="10">
        <f t="shared" si="3"/>
        <v>20498.760000000006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'May 2023'!H37</f>
        <v>7031.57</v>
      </c>
      <c r="D37" s="9">
        <v>1.78</v>
      </c>
      <c r="E37" s="9">
        <f>'May 2023'!E37+'June 2023'!D37</f>
        <v>8.41</v>
      </c>
      <c r="F37" s="9">
        <v>0</v>
      </c>
      <c r="G37" s="9">
        <f>'May 2023'!G37+'June 2023'!F37</f>
        <v>0.02</v>
      </c>
      <c r="H37" s="9">
        <f t="shared" si="0"/>
        <v>7033.3499999999995</v>
      </c>
      <c r="I37" s="9">
        <f>'May 2023'!N37</f>
        <v>0</v>
      </c>
      <c r="J37" s="9">
        <v>0</v>
      </c>
      <c r="K37" s="9">
        <f>'May 2023'!K37+'June 2023'!J37</f>
        <v>0</v>
      </c>
      <c r="L37" s="9">
        <v>0</v>
      </c>
      <c r="M37" s="9">
        <f>'May 2023'!M37+'June 2023'!L37</f>
        <v>0</v>
      </c>
      <c r="N37" s="9">
        <f t="shared" si="1"/>
        <v>0</v>
      </c>
      <c r="O37" s="10">
        <f>'May 2023'!T37</f>
        <v>3.1</v>
      </c>
      <c r="P37" s="9">
        <v>0</v>
      </c>
      <c r="Q37" s="9">
        <f>'May 2023'!Q37+'June 2023'!P37</f>
        <v>0</v>
      </c>
      <c r="R37" s="9">
        <v>0</v>
      </c>
      <c r="S37" s="9">
        <f>'May 2023'!S37+'June 2023'!R37</f>
        <v>0</v>
      </c>
      <c r="T37" s="10">
        <f t="shared" si="2"/>
        <v>3.1</v>
      </c>
      <c r="U37" s="10">
        <f t="shared" si="3"/>
        <v>7036.45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'May 2023'!H38</f>
        <v>39172.195000000007</v>
      </c>
      <c r="D38" s="15">
        <f t="shared" ref="D38:U38" si="11">SUM(D34:D37)</f>
        <v>793.97</v>
      </c>
      <c r="E38" s="15">
        <f t="shared" si="11"/>
        <v>2434.4399999999996</v>
      </c>
      <c r="F38" s="15">
        <f t="shared" si="11"/>
        <v>0</v>
      </c>
      <c r="G38" s="15">
        <f t="shared" si="11"/>
        <v>0.02</v>
      </c>
      <c r="H38" s="15">
        <f t="shared" si="11"/>
        <v>39966.165000000008</v>
      </c>
      <c r="I38" s="15">
        <f>'May 2023'!N38</f>
        <v>10.6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11"/>
        <v>10.6</v>
      </c>
      <c r="O38" s="41">
        <f>'May 2023'!T38</f>
        <v>239.84</v>
      </c>
      <c r="P38" s="15">
        <f t="shared" si="11"/>
        <v>0</v>
      </c>
      <c r="Q38" s="15">
        <f t="shared" si="11"/>
        <v>0.18</v>
      </c>
      <c r="R38" s="15">
        <f t="shared" si="11"/>
        <v>0</v>
      </c>
      <c r="S38" s="15">
        <f t="shared" si="11"/>
        <v>0</v>
      </c>
      <c r="T38" s="15">
        <f t="shared" si="11"/>
        <v>239.84</v>
      </c>
      <c r="U38" s="15">
        <f t="shared" si="11"/>
        <v>40216.60500000001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'May 2023'!H39</f>
        <v>69459.171000000002</v>
      </c>
      <c r="D39" s="15">
        <f t="shared" ref="D39:U39" si="12">D38+D33+D28</f>
        <v>839.40100000000007</v>
      </c>
      <c r="E39" s="15">
        <f t="shared" si="12"/>
        <v>2583.0419999999995</v>
      </c>
      <c r="F39" s="15">
        <f t="shared" si="12"/>
        <v>0</v>
      </c>
      <c r="G39" s="15">
        <f t="shared" si="12"/>
        <v>0.04</v>
      </c>
      <c r="H39" s="15">
        <f t="shared" si="12"/>
        <v>70298.572</v>
      </c>
      <c r="I39" s="15">
        <f>'May 2023'!N39</f>
        <v>1030.7950000000001</v>
      </c>
      <c r="J39" s="15">
        <f t="shared" si="12"/>
        <v>8.4700000000000006</v>
      </c>
      <c r="K39" s="15">
        <f t="shared" si="12"/>
        <v>28.060000000000002</v>
      </c>
      <c r="L39" s="15">
        <f t="shared" si="12"/>
        <v>0</v>
      </c>
      <c r="M39" s="15">
        <f t="shared" si="12"/>
        <v>0</v>
      </c>
      <c r="N39" s="15">
        <f t="shared" si="12"/>
        <v>1039.2649999999999</v>
      </c>
      <c r="O39" s="41">
        <f>'May 2023'!T39</f>
        <v>1819.7459999999999</v>
      </c>
      <c r="P39" s="15">
        <f t="shared" si="12"/>
        <v>50.2</v>
      </c>
      <c r="Q39" s="15">
        <f t="shared" si="12"/>
        <v>182.89600000000004</v>
      </c>
      <c r="R39" s="15">
        <f t="shared" si="12"/>
        <v>0</v>
      </c>
      <c r="S39" s="15">
        <f t="shared" si="12"/>
        <v>0</v>
      </c>
      <c r="T39" s="15">
        <f t="shared" si="12"/>
        <v>1869.9459999999999</v>
      </c>
      <c r="U39" s="15">
        <f t="shared" si="12"/>
        <v>73207.782999999996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'May 2023'!H40</f>
        <v>13924.338000000003</v>
      </c>
      <c r="D40" s="9">
        <v>21.75</v>
      </c>
      <c r="E40" s="9">
        <f>'May 2023'!E40+'June 2023'!D40</f>
        <v>36.840000000000003</v>
      </c>
      <c r="F40" s="9">
        <v>0</v>
      </c>
      <c r="G40" s="9">
        <f>'May 2023'!G40+'June 2023'!F40</f>
        <v>0</v>
      </c>
      <c r="H40" s="9">
        <f t="shared" si="0"/>
        <v>13946.088000000003</v>
      </c>
      <c r="I40" s="9">
        <f>'May 2023'!N40</f>
        <v>226.8</v>
      </c>
      <c r="J40" s="9">
        <v>0</v>
      </c>
      <c r="K40" s="9">
        <f>'May 2023'!K40+'June 2023'!J40</f>
        <v>0</v>
      </c>
      <c r="L40" s="9">
        <v>0</v>
      </c>
      <c r="M40" s="9">
        <f>'May 2023'!M40+'June 2023'!L40</f>
        <v>0</v>
      </c>
      <c r="N40" s="9">
        <f t="shared" si="1"/>
        <v>226.8</v>
      </c>
      <c r="O40" s="10">
        <f>'May 2023'!T40</f>
        <v>75.02000000000001</v>
      </c>
      <c r="P40" s="9">
        <v>0</v>
      </c>
      <c r="Q40" s="9">
        <f>'May 2023'!Q40+'June 2023'!P40</f>
        <v>0</v>
      </c>
      <c r="R40" s="9">
        <v>0</v>
      </c>
      <c r="S40" s="9">
        <f>'May 2023'!S40+'June 2023'!R40</f>
        <v>0</v>
      </c>
      <c r="T40" s="10">
        <f t="shared" si="2"/>
        <v>75.02000000000001</v>
      </c>
      <c r="U40" s="10">
        <f t="shared" si="3"/>
        <v>14247.908000000003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'May 2023'!H41</f>
        <v>10697.955999999995</v>
      </c>
      <c r="D41" s="9">
        <v>0.5</v>
      </c>
      <c r="E41" s="9">
        <f>'May 2023'!E41+'June 2023'!D41</f>
        <v>6.2200000000000006</v>
      </c>
      <c r="F41" s="9">
        <v>0</v>
      </c>
      <c r="G41" s="9">
        <f>'May 2023'!G41+'June 2023'!F41</f>
        <v>0</v>
      </c>
      <c r="H41" s="9">
        <f t="shared" si="0"/>
        <v>10698.455999999995</v>
      </c>
      <c r="I41" s="9">
        <f>'May 2023'!N41</f>
        <v>0</v>
      </c>
      <c r="J41" s="9">
        <v>0</v>
      </c>
      <c r="K41" s="9">
        <f>'May 2023'!K41+'June 2023'!J41</f>
        <v>0</v>
      </c>
      <c r="L41" s="9">
        <v>0</v>
      </c>
      <c r="M41" s="9">
        <f>'May 2023'!M41+'June 2023'!L41</f>
        <v>0</v>
      </c>
      <c r="N41" s="9">
        <f t="shared" si="1"/>
        <v>0</v>
      </c>
      <c r="O41" s="10">
        <f>'May 2023'!T41</f>
        <v>89.580000000000013</v>
      </c>
      <c r="P41" s="9">
        <v>0</v>
      </c>
      <c r="Q41" s="9">
        <f>'May 2023'!Q41+'June 2023'!P41</f>
        <v>0</v>
      </c>
      <c r="R41" s="9">
        <v>0</v>
      </c>
      <c r="S41" s="9">
        <f>'May 2023'!S41+'June 2023'!R41</f>
        <v>0</v>
      </c>
      <c r="T41" s="10">
        <f t="shared" si="2"/>
        <v>89.580000000000013</v>
      </c>
      <c r="U41" s="10">
        <f t="shared" si="3"/>
        <v>10788.035999999995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'May 2023'!H42</f>
        <v>24305.134000000005</v>
      </c>
      <c r="D42" s="9">
        <f>12.63+96.87</f>
        <v>109.5</v>
      </c>
      <c r="E42" s="9">
        <f>'May 2023'!E42+'June 2023'!D42</f>
        <v>334.40000000000003</v>
      </c>
      <c r="F42" s="9">
        <v>0</v>
      </c>
      <c r="G42" s="9">
        <f>'May 2023'!G42+'June 2023'!F42</f>
        <v>0</v>
      </c>
      <c r="H42" s="9">
        <f t="shared" si="0"/>
        <v>24414.634000000005</v>
      </c>
      <c r="I42" s="9">
        <f>'May 2023'!N42</f>
        <v>0</v>
      </c>
      <c r="J42" s="9">
        <v>0</v>
      </c>
      <c r="K42" s="9">
        <f>'May 2023'!K42+'June 2023'!J42</f>
        <v>0</v>
      </c>
      <c r="L42" s="9">
        <v>0</v>
      </c>
      <c r="M42" s="9">
        <f>'May 2023'!M42+'June 2023'!L42</f>
        <v>0</v>
      </c>
      <c r="N42" s="9">
        <f t="shared" si="1"/>
        <v>0</v>
      </c>
      <c r="O42" s="10">
        <f>'May 2023'!T42</f>
        <v>38.47</v>
      </c>
      <c r="P42" s="9">
        <v>0</v>
      </c>
      <c r="Q42" s="9">
        <f>'May 2023'!Q42+'June 2023'!P42</f>
        <v>0</v>
      </c>
      <c r="R42" s="9">
        <v>0</v>
      </c>
      <c r="S42" s="9">
        <f>'May 2023'!S42+'June 2023'!R42</f>
        <v>0</v>
      </c>
      <c r="T42" s="10">
        <f t="shared" si="2"/>
        <v>38.47</v>
      </c>
      <c r="U42" s="10">
        <f t="shared" si="3"/>
        <v>24453.104000000007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'May 2023'!H43</f>
        <v>2601.0830000000001</v>
      </c>
      <c r="D43" s="9">
        <f>0.44+55.71</f>
        <v>56.15</v>
      </c>
      <c r="E43" s="9">
        <f>'May 2023'!E43+'June 2023'!D43</f>
        <v>177.23</v>
      </c>
      <c r="F43" s="9">
        <v>0</v>
      </c>
      <c r="G43" s="9">
        <f>'May 2023'!G43+'June 2023'!F43</f>
        <v>0</v>
      </c>
      <c r="H43" s="9">
        <f t="shared" si="0"/>
        <v>2657.2330000000002</v>
      </c>
      <c r="I43" s="9">
        <f>'May 2023'!N43</f>
        <v>0</v>
      </c>
      <c r="J43" s="9">
        <v>0</v>
      </c>
      <c r="K43" s="9">
        <f>'May 2023'!K43+'June 2023'!J43</f>
        <v>0</v>
      </c>
      <c r="L43" s="9">
        <v>0</v>
      </c>
      <c r="M43" s="9">
        <f>'May 2023'!M43+'June 2023'!L43</f>
        <v>0</v>
      </c>
      <c r="N43" s="9">
        <f t="shared" si="1"/>
        <v>0</v>
      </c>
      <c r="O43" s="10">
        <f>'May 2023'!T43</f>
        <v>146.49</v>
      </c>
      <c r="P43" s="9">
        <v>0</v>
      </c>
      <c r="Q43" s="9">
        <f>'May 2023'!Q43+'June 2023'!P43</f>
        <v>0</v>
      </c>
      <c r="R43" s="9">
        <v>0</v>
      </c>
      <c r="S43" s="9">
        <f>'May 2023'!S43+'June 2023'!R43</f>
        <v>0</v>
      </c>
      <c r="T43" s="10">
        <f t="shared" si="2"/>
        <v>146.49</v>
      </c>
      <c r="U43" s="10">
        <f t="shared" si="3"/>
        <v>2803.723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'May 2023'!H44</f>
        <v>51528.510999999999</v>
      </c>
      <c r="D44" s="15">
        <f t="shared" ref="D44:U44" si="13">SUM(D40:D43)</f>
        <v>187.9</v>
      </c>
      <c r="E44" s="15">
        <f t="shared" si="13"/>
        <v>554.69000000000005</v>
      </c>
      <c r="F44" s="15">
        <f t="shared" si="13"/>
        <v>0</v>
      </c>
      <c r="G44" s="15">
        <f t="shared" si="13"/>
        <v>0</v>
      </c>
      <c r="H44" s="15">
        <f t="shared" si="13"/>
        <v>51716.411</v>
      </c>
      <c r="I44" s="15">
        <f>'May 2023'!N44</f>
        <v>226.8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3"/>
        <v>226.8</v>
      </c>
      <c r="O44" s="41">
        <f>'May 2023'!T44</f>
        <v>349.56000000000006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3"/>
        <v>0</v>
      </c>
      <c r="T44" s="15">
        <f t="shared" si="13"/>
        <v>349.56000000000006</v>
      </c>
      <c r="U44" s="15">
        <f t="shared" si="13"/>
        <v>52292.771000000001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'May 2023'!H45</f>
        <v>14135.685000000001</v>
      </c>
      <c r="D45" s="9">
        <v>9.09</v>
      </c>
      <c r="E45" s="9">
        <f>'May 2023'!E45+'June 2023'!D45</f>
        <v>19.11</v>
      </c>
      <c r="F45" s="9">
        <v>0</v>
      </c>
      <c r="G45" s="9">
        <f>'May 2023'!G45+'June 2023'!F45</f>
        <v>0</v>
      </c>
      <c r="H45" s="9">
        <f t="shared" si="0"/>
        <v>14144.775000000001</v>
      </c>
      <c r="I45" s="9">
        <f>'May 2023'!N45</f>
        <v>6.67</v>
      </c>
      <c r="J45" s="9">
        <f>1.38+0.1</f>
        <v>1.48</v>
      </c>
      <c r="K45" s="9">
        <f>'May 2023'!K45+'June 2023'!J45</f>
        <v>1.48</v>
      </c>
      <c r="L45" s="9">
        <v>0</v>
      </c>
      <c r="M45" s="9">
        <f>'May 2023'!M45+'June 2023'!L45</f>
        <v>0</v>
      </c>
      <c r="N45" s="9">
        <f t="shared" si="1"/>
        <v>8.15</v>
      </c>
      <c r="O45" s="10">
        <f>'May 2023'!T45</f>
        <v>105.87000000000002</v>
      </c>
      <c r="P45" s="9">
        <v>0</v>
      </c>
      <c r="Q45" s="9">
        <f>'May 2023'!Q45+'June 2023'!P45</f>
        <v>0</v>
      </c>
      <c r="R45" s="9">
        <v>0</v>
      </c>
      <c r="S45" s="9">
        <f>'May 2023'!S45+'June 2023'!R45</f>
        <v>0</v>
      </c>
      <c r="T45" s="10">
        <f t="shared" si="2"/>
        <v>105.87000000000002</v>
      </c>
      <c r="U45" s="10">
        <f t="shared" si="3"/>
        <v>14258.795000000002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'May 2023'!H46</f>
        <v>7455.2949999999992</v>
      </c>
      <c r="D46" s="9">
        <v>25.38</v>
      </c>
      <c r="E46" s="9">
        <f>'May 2023'!E46+'June 2023'!D46</f>
        <v>67.62</v>
      </c>
      <c r="F46" s="9">
        <v>0</v>
      </c>
      <c r="G46" s="9">
        <f>'May 2023'!G46+'June 2023'!F46</f>
        <v>0</v>
      </c>
      <c r="H46" s="9">
        <f t="shared" si="0"/>
        <v>7480.6749999999993</v>
      </c>
      <c r="I46" s="9">
        <f>'May 2023'!N46</f>
        <v>0</v>
      </c>
      <c r="J46" s="9">
        <v>0</v>
      </c>
      <c r="K46" s="9">
        <f>'May 2023'!K46+'June 2023'!J46</f>
        <v>0</v>
      </c>
      <c r="L46" s="9">
        <v>0</v>
      </c>
      <c r="M46" s="9">
        <f>'May 2023'!M46+'June 2023'!L46</f>
        <v>0</v>
      </c>
      <c r="N46" s="9">
        <f t="shared" si="1"/>
        <v>0</v>
      </c>
      <c r="O46" s="10">
        <f>'May 2023'!T46</f>
        <v>7.5900000000000007</v>
      </c>
      <c r="P46" s="9">
        <v>0</v>
      </c>
      <c r="Q46" s="9">
        <f>'May 2023'!Q46+'June 2023'!P46</f>
        <v>0</v>
      </c>
      <c r="R46" s="9">
        <v>0</v>
      </c>
      <c r="S46" s="9">
        <f>'May 2023'!S46+'June 2023'!R46</f>
        <v>0</v>
      </c>
      <c r="T46" s="10">
        <f t="shared" si="2"/>
        <v>7.5900000000000007</v>
      </c>
      <c r="U46" s="10">
        <f t="shared" si="3"/>
        <v>7488.2649999999994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'May 2023'!H47</f>
        <v>12304.690000000006</v>
      </c>
      <c r="D47" s="9">
        <v>0.04</v>
      </c>
      <c r="E47" s="9">
        <f>'May 2023'!E47+'June 2023'!D47</f>
        <v>0.69000000000000006</v>
      </c>
      <c r="F47" s="9">
        <v>0</v>
      </c>
      <c r="G47" s="9">
        <f>'May 2023'!G47+'June 2023'!F47</f>
        <v>0</v>
      </c>
      <c r="H47" s="9">
        <f t="shared" si="0"/>
        <v>12304.730000000007</v>
      </c>
      <c r="I47" s="9">
        <f>'May 2023'!N47</f>
        <v>1.2999999999999998</v>
      </c>
      <c r="J47" s="9">
        <v>0</v>
      </c>
      <c r="K47" s="9">
        <f>'May 2023'!K47+'June 2023'!J47</f>
        <v>0</v>
      </c>
      <c r="L47" s="9">
        <v>0</v>
      </c>
      <c r="M47" s="9">
        <f>'May 2023'!M47+'June 2023'!L47</f>
        <v>0</v>
      </c>
      <c r="N47" s="9">
        <f t="shared" si="1"/>
        <v>1.2999999999999998</v>
      </c>
      <c r="O47" s="10">
        <f>'May 2023'!T47</f>
        <v>86.18</v>
      </c>
      <c r="P47" s="9">
        <v>0</v>
      </c>
      <c r="Q47" s="9">
        <f>'May 2023'!Q47+'June 2023'!P47</f>
        <v>0</v>
      </c>
      <c r="R47" s="9">
        <v>0</v>
      </c>
      <c r="S47" s="9">
        <f>'May 2023'!S47+'June 2023'!R47</f>
        <v>0</v>
      </c>
      <c r="T47" s="10">
        <f t="shared" si="2"/>
        <v>86.18</v>
      </c>
      <c r="U47" s="10">
        <f t="shared" si="3"/>
        <v>12392.210000000006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'May 2023'!H48</f>
        <v>11110.802000000009</v>
      </c>
      <c r="D48" s="9">
        <v>0.55000000000000004</v>
      </c>
      <c r="E48" s="9">
        <f>'May 2023'!E48+'June 2023'!D48</f>
        <v>4.1399999999999997</v>
      </c>
      <c r="F48" s="9">
        <v>0</v>
      </c>
      <c r="G48" s="9">
        <f>'May 2023'!G48+'June 2023'!F48</f>
        <v>0</v>
      </c>
      <c r="H48" s="9">
        <f t="shared" si="0"/>
        <v>11111.352000000008</v>
      </c>
      <c r="I48" s="9">
        <f>'May 2023'!N48</f>
        <v>0</v>
      </c>
      <c r="J48" s="9">
        <v>0</v>
      </c>
      <c r="K48" s="9">
        <f>'May 2023'!K48+'June 2023'!J48</f>
        <v>0</v>
      </c>
      <c r="L48" s="9">
        <v>0</v>
      </c>
      <c r="M48" s="9">
        <f>'May 2023'!M48+'June 2023'!L48</f>
        <v>0</v>
      </c>
      <c r="N48" s="9">
        <f t="shared" si="1"/>
        <v>0</v>
      </c>
      <c r="O48" s="10">
        <f>'May 2023'!T48</f>
        <v>30.53</v>
      </c>
      <c r="P48" s="9">
        <v>0</v>
      </c>
      <c r="Q48" s="9">
        <f>'May 2023'!Q48+'June 2023'!P48</f>
        <v>0</v>
      </c>
      <c r="R48" s="9">
        <v>0</v>
      </c>
      <c r="S48" s="9">
        <f>'May 2023'!S48+'June 2023'!R48</f>
        <v>0</v>
      </c>
      <c r="T48" s="10">
        <f t="shared" si="2"/>
        <v>30.53</v>
      </c>
      <c r="U48" s="10">
        <f t="shared" si="3"/>
        <v>11141.882000000009</v>
      </c>
      <c r="V48" s="75"/>
      <c r="W48" s="11"/>
    </row>
    <row r="49" spans="1:23" s="16" customFormat="1" ht="42.75" customHeight="1">
      <c r="A49" s="13"/>
      <c r="B49" s="14" t="s">
        <v>57</v>
      </c>
      <c r="C49" s="15">
        <f>'May 2023'!H49</f>
        <v>45006.472000000016</v>
      </c>
      <c r="D49" s="15">
        <f t="shared" ref="D49:U49" si="14">SUM(D45:D48)</f>
        <v>35.059999999999995</v>
      </c>
      <c r="E49" s="15">
        <f t="shared" si="14"/>
        <v>91.56</v>
      </c>
      <c r="F49" s="15">
        <f t="shared" si="14"/>
        <v>0</v>
      </c>
      <c r="G49" s="15">
        <f t="shared" si="14"/>
        <v>0</v>
      </c>
      <c r="H49" s="15">
        <f t="shared" si="14"/>
        <v>45041.532000000014</v>
      </c>
      <c r="I49" s="15">
        <f>'May 2023'!N49</f>
        <v>7.97</v>
      </c>
      <c r="J49" s="15">
        <f t="shared" si="14"/>
        <v>1.48</v>
      </c>
      <c r="K49" s="15">
        <f t="shared" si="14"/>
        <v>1.48</v>
      </c>
      <c r="L49" s="15">
        <f t="shared" si="14"/>
        <v>0</v>
      </c>
      <c r="M49" s="15">
        <f t="shared" si="14"/>
        <v>0</v>
      </c>
      <c r="N49" s="15">
        <f t="shared" si="14"/>
        <v>9.4499999999999993</v>
      </c>
      <c r="O49" s="41">
        <f>'May 2023'!T49</f>
        <v>230.17000000000004</v>
      </c>
      <c r="P49" s="15">
        <f t="shared" si="14"/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  <c r="T49" s="15">
        <f t="shared" si="14"/>
        <v>230.17000000000004</v>
      </c>
      <c r="U49" s="15">
        <f t="shared" si="14"/>
        <v>45281.152000000016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'May 2023'!H50</f>
        <v>96534.983000000007</v>
      </c>
      <c r="D50" s="15">
        <f t="shared" ref="D50:U50" si="15">D49+D44</f>
        <v>222.96</v>
      </c>
      <c r="E50" s="15">
        <f t="shared" si="15"/>
        <v>646.25</v>
      </c>
      <c r="F50" s="15">
        <f t="shared" si="15"/>
        <v>0</v>
      </c>
      <c r="G50" s="15">
        <f t="shared" si="15"/>
        <v>0</v>
      </c>
      <c r="H50" s="15">
        <f t="shared" si="15"/>
        <v>96757.943000000014</v>
      </c>
      <c r="I50" s="15">
        <f>'May 2023'!N50</f>
        <v>234.77</v>
      </c>
      <c r="J50" s="15">
        <f t="shared" si="15"/>
        <v>1.48</v>
      </c>
      <c r="K50" s="15">
        <f t="shared" si="15"/>
        <v>1.48</v>
      </c>
      <c r="L50" s="15">
        <f t="shared" si="15"/>
        <v>0</v>
      </c>
      <c r="M50" s="15">
        <f t="shared" si="15"/>
        <v>0</v>
      </c>
      <c r="N50" s="15">
        <f t="shared" si="15"/>
        <v>236.25</v>
      </c>
      <c r="O50" s="41">
        <f>'May 2023'!T50</f>
        <v>579.73000000000013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579.73000000000013</v>
      </c>
      <c r="U50" s="15">
        <f t="shared" si="15"/>
        <v>97573.92300000001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'May 2023'!H51</f>
        <v>174913.47700000001</v>
      </c>
      <c r="D51" s="15">
        <f t="shared" ref="D51:U51" si="16">D50+D39+D25</f>
        <v>1067.7810000000002</v>
      </c>
      <c r="E51" s="15">
        <f t="shared" si="16"/>
        <v>3242.2119999999995</v>
      </c>
      <c r="F51" s="15">
        <f t="shared" si="16"/>
        <v>0</v>
      </c>
      <c r="G51" s="15">
        <f t="shared" si="16"/>
        <v>3.24</v>
      </c>
      <c r="H51" s="37">
        <f t="shared" si="16"/>
        <v>175981.258</v>
      </c>
      <c r="I51" s="15">
        <f>'May 2023'!N51</f>
        <v>2854.8050000000003</v>
      </c>
      <c r="J51" s="15">
        <f t="shared" si="16"/>
        <v>56.098000000000006</v>
      </c>
      <c r="K51" s="15">
        <f t="shared" si="16"/>
        <v>94.884000000000015</v>
      </c>
      <c r="L51" s="15">
        <f t="shared" si="16"/>
        <v>0</v>
      </c>
      <c r="M51" s="15">
        <f t="shared" si="16"/>
        <v>0.12</v>
      </c>
      <c r="N51" s="37">
        <f t="shared" si="16"/>
        <v>2910.9030000000002</v>
      </c>
      <c r="O51" s="41">
        <f>'May 2023'!T51</f>
        <v>9757.77</v>
      </c>
      <c r="P51" s="15">
        <f t="shared" si="16"/>
        <v>132.75</v>
      </c>
      <c r="Q51" s="15">
        <f t="shared" si="16"/>
        <v>572.54600000000005</v>
      </c>
      <c r="R51" s="15">
        <f t="shared" si="16"/>
        <v>19.239999999999998</v>
      </c>
      <c r="S51" s="15">
        <f t="shared" si="16"/>
        <v>19.239999999999998</v>
      </c>
      <c r="T51" s="37">
        <f t="shared" si="16"/>
        <v>9871.2799999999988</v>
      </c>
      <c r="U51" s="15">
        <f t="shared" si="16"/>
        <v>188763.44099999999</v>
      </c>
      <c r="V51" s="40"/>
      <c r="W51" s="40"/>
    </row>
    <row r="52" spans="1:23" s="21" customFormat="1" ht="42.75" hidden="1" customHeight="1">
      <c r="A52" s="18"/>
      <c r="B52" s="19"/>
      <c r="C52" s="9">
        <f>'[2]Feb 2023'!H52</f>
        <v>0</v>
      </c>
      <c r="D52" s="20"/>
      <c r="E52" s="9">
        <f t="shared" ref="E52:E53" si="17">D52</f>
        <v>0</v>
      </c>
      <c r="F52" s="20"/>
      <c r="G52" s="9">
        <f>'May 2023'!G52+'June 2023'!F52</f>
        <v>0</v>
      </c>
      <c r="H52" s="9">
        <f t="shared" si="0"/>
        <v>0</v>
      </c>
      <c r="I52" s="9">
        <f>'April 2023'!N52</f>
        <v>0</v>
      </c>
      <c r="J52" s="20"/>
      <c r="K52" s="9">
        <f>'May 2023'!K52+'June 2023'!J52</f>
        <v>0</v>
      </c>
      <c r="L52" s="20"/>
      <c r="M52" s="9"/>
      <c r="N52" s="20"/>
      <c r="O52" s="10">
        <f>'May 2023'!T52</f>
        <v>0</v>
      </c>
      <c r="P52" s="20"/>
      <c r="Q52" s="9">
        <f>'May 2023'!Q52+'June 2023'!P52</f>
        <v>0</v>
      </c>
      <c r="R52" s="20"/>
      <c r="S52" s="9">
        <f t="shared" ref="S52:S53" si="18">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'[2]Feb 2023'!H53</f>
        <v>0</v>
      </c>
      <c r="D53" s="20"/>
      <c r="E53" s="9">
        <f t="shared" si="17"/>
        <v>0</v>
      </c>
      <c r="F53" s="20"/>
      <c r="G53" s="9">
        <f>'May 2023'!G53+'June 2023'!F53</f>
        <v>0</v>
      </c>
      <c r="H53" s="9">
        <f t="shared" si="0"/>
        <v>0</v>
      </c>
      <c r="I53" s="9">
        <f>'April 2023'!N53</f>
        <v>0</v>
      </c>
      <c r="J53" s="20"/>
      <c r="K53" s="9">
        <f>'May 2023'!K53+'June 2023'!J53</f>
        <v>0</v>
      </c>
      <c r="L53" s="20"/>
      <c r="M53" s="9"/>
      <c r="N53" s="20"/>
      <c r="O53" s="10">
        <f>'May 2023'!T53</f>
        <v>0</v>
      </c>
      <c r="P53" s="22"/>
      <c r="Q53" s="9">
        <f>'May 2023'!Q53+'June 2023'!P53</f>
        <v>0</v>
      </c>
      <c r="R53" s="20"/>
      <c r="S53" s="9">
        <f t="shared" si="18"/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9"/>
      <c r="L54" s="20"/>
      <c r="M54" s="22"/>
      <c r="N54" s="20"/>
      <c r="O54" s="20"/>
      <c r="P54" s="22"/>
      <c r="Q54" s="24"/>
      <c r="R54" s="20"/>
      <c r="S54" s="22"/>
      <c r="T54" s="23"/>
      <c r="U54" s="20"/>
      <c r="V54" s="20"/>
      <c r="W54" s="20"/>
    </row>
    <row r="55" spans="1:23" s="43" customFormat="1" ht="30">
      <c r="A55" s="76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1237.3890000000001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3887.0420000000004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188763.44099999999</v>
      </c>
      <c r="I58" s="30"/>
      <c r="J58" s="30"/>
      <c r="K58" s="30"/>
      <c r="L58" s="31"/>
      <c r="M58" s="31"/>
      <c r="N58" s="32" t="e">
        <f>#REF!+'June 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#REF!+'June 2023'!H56</f>
        <v>#REF!</v>
      </c>
      <c r="K59" s="30"/>
      <c r="L59" s="35" t="e">
        <f>#REF!+'June 2023'!H56</f>
        <v>#REF!</v>
      </c>
      <c r="M59" s="30"/>
      <c r="O59" s="11"/>
    </row>
    <row r="60" spans="1:23">
      <c r="B60" s="2"/>
      <c r="G60" s="36"/>
      <c r="O60" s="2"/>
      <c r="U60" s="2"/>
      <c r="V60" s="2"/>
      <c r="W60" s="2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D56:G56"/>
    <mergeCell ref="D57:G57"/>
    <mergeCell ref="D58:G58"/>
    <mergeCell ref="P5:Q5"/>
    <mergeCell ref="R5:S5"/>
    <mergeCell ref="A55:K5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0"/>
  <sheetViews>
    <sheetView topLeftCell="A37" zoomScale="38" zoomScaleNormal="38" zoomScaleSheetLayoutView="25" workbookViewId="0">
      <selection activeCell="A55" sqref="A55:XFD55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68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'June 2023'!H7</f>
        <v>83.970000000000653</v>
      </c>
      <c r="D7" s="9">
        <v>0</v>
      </c>
      <c r="E7" s="9">
        <f>'June 2023'!E7+'JULY 2023'!D7</f>
        <v>0</v>
      </c>
      <c r="F7" s="9">
        <v>0</v>
      </c>
      <c r="G7" s="9">
        <f>'June 2023'!G7+'JULY 2023'!F7</f>
        <v>0</v>
      </c>
      <c r="H7" s="9">
        <f>C7+D7-F7</f>
        <v>83.970000000000653</v>
      </c>
      <c r="I7" s="9">
        <f>'June 2023'!N7</f>
        <v>206.99599999999995</v>
      </c>
      <c r="J7" s="9">
        <v>0.84</v>
      </c>
      <c r="K7" s="9">
        <f>'June 2023'!K7+'JULY 2023'!J7</f>
        <v>32.965000000000003</v>
      </c>
      <c r="L7" s="9">
        <v>0</v>
      </c>
      <c r="M7" s="9">
        <f>'June 2023'!M7+'JULY 2023'!L7</f>
        <v>0</v>
      </c>
      <c r="N7" s="9">
        <f>I7+J7-L7</f>
        <v>207.83599999999996</v>
      </c>
      <c r="O7" s="10">
        <f>'June 2023'!T7</f>
        <v>264.90000000000009</v>
      </c>
      <c r="P7" s="9">
        <v>0</v>
      </c>
      <c r="Q7" s="9">
        <f>'June 2023'!Q7+'JULY 2023'!P7</f>
        <v>0</v>
      </c>
      <c r="R7" s="9">
        <v>0</v>
      </c>
      <c r="S7" s="9">
        <f>'June 2023'!S7+'JULY 2023'!R7</f>
        <v>19.239999999999998</v>
      </c>
      <c r="T7" s="10">
        <f>O7+P7-R7</f>
        <v>264.90000000000009</v>
      </c>
      <c r="U7" s="10">
        <f>H7+N7+T7</f>
        <v>556.7060000000007</v>
      </c>
      <c r="V7" s="11"/>
      <c r="W7" s="11"/>
    </row>
    <row r="8" spans="1:183" ht="42.75" customHeight="1">
      <c r="A8" s="7">
        <v>2</v>
      </c>
      <c r="B8" s="8" t="s">
        <v>15</v>
      </c>
      <c r="C8" s="9">
        <f>'June 2023'!H8</f>
        <v>498.12499999999983</v>
      </c>
      <c r="D8" s="9">
        <v>0.33</v>
      </c>
      <c r="E8" s="9">
        <f>'June 2023'!E8+'JULY 2023'!D8</f>
        <v>0.84000000000000008</v>
      </c>
      <c r="F8" s="9">
        <v>0</v>
      </c>
      <c r="G8" s="9">
        <f>'June 2023'!G8+'JULY 2023'!F8</f>
        <v>0</v>
      </c>
      <c r="H8" s="9">
        <f t="shared" ref="H8:H53" si="0">C8+D8-F8</f>
        <v>498.45499999999981</v>
      </c>
      <c r="I8" s="9">
        <f>'June 2023'!N8</f>
        <v>148.74600000000001</v>
      </c>
      <c r="J8" s="9">
        <v>2.38</v>
      </c>
      <c r="K8" s="9">
        <f>'June 2023'!K8+'JULY 2023'!J8</f>
        <v>8.2199999999999989</v>
      </c>
      <c r="L8" s="9">
        <v>0</v>
      </c>
      <c r="M8" s="9">
        <f>'June 2023'!M8+'JULY 2023'!L8</f>
        <v>0</v>
      </c>
      <c r="N8" s="9">
        <f t="shared" ref="N8:N48" si="1">I8+J8-L8</f>
        <v>151.126</v>
      </c>
      <c r="O8" s="10">
        <f>'June 2023'!T8</f>
        <v>222.27000000000004</v>
      </c>
      <c r="P8" s="9">
        <v>0</v>
      </c>
      <c r="Q8" s="9">
        <f>'June 2023'!Q8+'JULY 2023'!P8</f>
        <v>0</v>
      </c>
      <c r="R8" s="9">
        <v>0</v>
      </c>
      <c r="S8" s="9">
        <f>'June 2023'!S8+'JULY 2023'!R8</f>
        <v>0</v>
      </c>
      <c r="T8" s="10">
        <f t="shared" ref="T8:T48" si="2">O8+P8-R8</f>
        <v>222.27000000000004</v>
      </c>
      <c r="U8" s="10">
        <f t="shared" ref="U8:U48" si="3">H8+N8+T8</f>
        <v>871.85099999999989</v>
      </c>
      <c r="V8" s="11"/>
      <c r="W8" s="11"/>
    </row>
    <row r="9" spans="1:183" ht="42.75" customHeight="1">
      <c r="A9" s="7">
        <v>3</v>
      </c>
      <c r="B9" s="8" t="s">
        <v>16</v>
      </c>
      <c r="C9" s="9">
        <f>'June 2023'!H9</f>
        <v>653.9599999999997</v>
      </c>
      <c r="D9" s="9">
        <v>0</v>
      </c>
      <c r="E9" s="9">
        <f>'June 2023'!E9+'JULY 2023'!D9</f>
        <v>0</v>
      </c>
      <c r="F9" s="9">
        <v>0</v>
      </c>
      <c r="G9" s="9">
        <f>'June 2023'!G9+'JULY 2023'!F9</f>
        <v>0</v>
      </c>
      <c r="H9" s="9">
        <f t="shared" si="0"/>
        <v>653.9599999999997</v>
      </c>
      <c r="I9" s="9">
        <f>'June 2023'!N9</f>
        <v>228.43</v>
      </c>
      <c r="J9" s="9">
        <v>1.65</v>
      </c>
      <c r="K9" s="9">
        <f>'June 2023'!K9+'JULY 2023'!J9</f>
        <v>14.574</v>
      </c>
      <c r="L9" s="9">
        <v>0</v>
      </c>
      <c r="M9" s="9">
        <f>'June 2023'!M9+'JULY 2023'!L9</f>
        <v>0</v>
      </c>
      <c r="N9" s="9">
        <f t="shared" si="1"/>
        <v>230.08</v>
      </c>
      <c r="O9" s="10">
        <f>'June 2023'!T9</f>
        <v>474.31999999999994</v>
      </c>
      <c r="P9" s="9">
        <f>17.01+37.8</f>
        <v>54.81</v>
      </c>
      <c r="Q9" s="9">
        <f>'June 2023'!Q9+'JULY 2023'!P9</f>
        <v>262.53999999999996</v>
      </c>
      <c r="R9" s="9">
        <v>0</v>
      </c>
      <c r="S9" s="9">
        <f>'June 2023'!S9+'JULY 2023'!R9</f>
        <v>0</v>
      </c>
      <c r="T9" s="10">
        <f t="shared" si="2"/>
        <v>529.12999999999988</v>
      </c>
      <c r="U9" s="10">
        <f t="shared" si="3"/>
        <v>1413.1699999999996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'June 2023'!H10</f>
        <v>0</v>
      </c>
      <c r="D10" s="9">
        <v>0</v>
      </c>
      <c r="E10" s="9">
        <f>'June 2023'!E10+'JULY 2023'!D10</f>
        <v>0</v>
      </c>
      <c r="F10" s="9">
        <v>0</v>
      </c>
      <c r="G10" s="9">
        <f>'June 2023'!G10+'JULY 2023'!F10</f>
        <v>0</v>
      </c>
      <c r="H10" s="9">
        <f t="shared" si="0"/>
        <v>0</v>
      </c>
      <c r="I10" s="9">
        <f>'June 2023'!N10</f>
        <v>147.57000000000008</v>
      </c>
      <c r="J10" s="9">
        <v>2.5000000000000001E-2</v>
      </c>
      <c r="K10" s="9">
        <f>'June 2023'!K10+'JULY 2023'!J10</f>
        <v>0.37000000000000005</v>
      </c>
      <c r="L10" s="9">
        <v>0</v>
      </c>
      <c r="M10" s="9">
        <f>'June 2023'!M10+'JULY 2023'!L10</f>
        <v>0</v>
      </c>
      <c r="N10" s="9">
        <f t="shared" si="1"/>
        <v>147.59500000000008</v>
      </c>
      <c r="O10" s="10">
        <f>'June 2023'!T10</f>
        <v>234.27999999999997</v>
      </c>
      <c r="P10" s="9">
        <v>0</v>
      </c>
      <c r="Q10" s="9">
        <f>'June 2023'!Q10+'JULY 2023'!P10</f>
        <v>0</v>
      </c>
      <c r="R10" s="9">
        <v>0</v>
      </c>
      <c r="S10" s="9">
        <f>'June 2023'!S10+'JULY 2023'!R10</f>
        <v>0</v>
      </c>
      <c r="T10" s="10">
        <f t="shared" si="2"/>
        <v>234.27999999999997</v>
      </c>
      <c r="U10" s="10">
        <f t="shared" si="3"/>
        <v>381.87500000000006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'June 2023'!H11</f>
        <v>1236.0550000000003</v>
      </c>
      <c r="D11" s="15">
        <f t="shared" ref="D11:U11" si="4">SUM(D7:D10)</f>
        <v>0.33</v>
      </c>
      <c r="E11" s="15">
        <f t="shared" si="4"/>
        <v>0.84000000000000008</v>
      </c>
      <c r="F11" s="15">
        <f t="shared" si="4"/>
        <v>0</v>
      </c>
      <c r="G11" s="15">
        <f t="shared" si="4"/>
        <v>0</v>
      </c>
      <c r="H11" s="15">
        <f t="shared" si="4"/>
        <v>1236.3850000000002</v>
      </c>
      <c r="I11" s="15">
        <f>'June 2023'!N11</f>
        <v>731.74200000000008</v>
      </c>
      <c r="J11" s="15">
        <f t="shared" si="4"/>
        <v>4.8949999999999996</v>
      </c>
      <c r="K11" s="15">
        <f t="shared" si="4"/>
        <v>56.128999999999998</v>
      </c>
      <c r="L11" s="15">
        <f t="shared" si="4"/>
        <v>0</v>
      </c>
      <c r="M11" s="15">
        <f t="shared" si="4"/>
        <v>0</v>
      </c>
      <c r="N11" s="15">
        <f t="shared" si="4"/>
        <v>736.63700000000017</v>
      </c>
      <c r="O11" s="41">
        <f>'June 2023'!T11</f>
        <v>1195.77</v>
      </c>
      <c r="P11" s="15">
        <f t="shared" ref="P11" si="5">SUM(P7:P10)</f>
        <v>54.81</v>
      </c>
      <c r="Q11" s="15">
        <f t="shared" si="4"/>
        <v>262.53999999999996</v>
      </c>
      <c r="R11" s="15">
        <f t="shared" si="4"/>
        <v>0</v>
      </c>
      <c r="S11" s="15">
        <f t="shared" si="4"/>
        <v>19.239999999999998</v>
      </c>
      <c r="T11" s="15">
        <f t="shared" si="4"/>
        <v>1250.58</v>
      </c>
      <c r="U11" s="15">
        <f t="shared" si="4"/>
        <v>3223.6020000000003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'June 2023'!H12</f>
        <v>218.88999999999885</v>
      </c>
      <c r="D12" s="9">
        <v>0</v>
      </c>
      <c r="E12" s="9">
        <f>'June 2023'!E12+'JULY 2023'!D12</f>
        <v>0</v>
      </c>
      <c r="F12" s="9">
        <v>0</v>
      </c>
      <c r="G12" s="9">
        <f>'June 2023'!G12+'JULY 2023'!F12</f>
        <v>0</v>
      </c>
      <c r="H12" s="9">
        <f t="shared" si="0"/>
        <v>218.88999999999885</v>
      </c>
      <c r="I12" s="9">
        <f>'June 2023'!N12</f>
        <v>90.912999999999997</v>
      </c>
      <c r="J12" s="9">
        <v>1.21</v>
      </c>
      <c r="K12" s="9">
        <f>'June 2023'!K12+'JULY 2023'!J12</f>
        <v>2.2400000000000002</v>
      </c>
      <c r="L12" s="9">
        <v>0</v>
      </c>
      <c r="M12" s="9">
        <f>'June 2023'!M12+'JULY 2023'!L12</f>
        <v>0</v>
      </c>
      <c r="N12" s="9">
        <f t="shared" si="1"/>
        <v>92.12299999999999</v>
      </c>
      <c r="O12" s="10">
        <f>'June 2023'!T12</f>
        <v>1548.3899999999999</v>
      </c>
      <c r="P12" s="9">
        <v>0</v>
      </c>
      <c r="Q12" s="9">
        <f>'June 2023'!Q12+'JULY 2023'!P12</f>
        <v>0.37</v>
      </c>
      <c r="R12" s="9">
        <v>0</v>
      </c>
      <c r="S12" s="9">
        <f>'June 2023'!S12+'JULY 2023'!R12</f>
        <v>0</v>
      </c>
      <c r="T12" s="10">
        <f t="shared" si="2"/>
        <v>1548.3899999999999</v>
      </c>
      <c r="U12" s="10">
        <f t="shared" si="3"/>
        <v>1859.4029999999987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'June 2023'!H13</f>
        <v>1023.7699999999998</v>
      </c>
      <c r="D13" s="9">
        <v>0</v>
      </c>
      <c r="E13" s="9">
        <f>'June 2023'!E13+'JULY 2023'!D13</f>
        <v>0</v>
      </c>
      <c r="F13" s="9">
        <v>0</v>
      </c>
      <c r="G13" s="9">
        <f>'June 2023'!G13+'JULY 2023'!F13</f>
        <v>0</v>
      </c>
      <c r="H13" s="9">
        <f t="shared" si="0"/>
        <v>1023.7699999999998</v>
      </c>
      <c r="I13" s="9">
        <f>'June 2023'!N13</f>
        <v>160.34400000000008</v>
      </c>
      <c r="J13" s="9">
        <v>0.7</v>
      </c>
      <c r="K13" s="9">
        <f>'June 2023'!K13+'JULY 2023'!J13</f>
        <v>3.38</v>
      </c>
      <c r="L13" s="9">
        <v>0</v>
      </c>
      <c r="M13" s="9">
        <f>'June 2023'!M13+'JULY 2023'!L13</f>
        <v>0</v>
      </c>
      <c r="N13" s="9">
        <f t="shared" si="1"/>
        <v>161.04400000000007</v>
      </c>
      <c r="O13" s="10">
        <f>'June 2023'!T13</f>
        <v>87.2</v>
      </c>
      <c r="P13" s="9">
        <v>0</v>
      </c>
      <c r="Q13" s="9">
        <f>'June 2023'!Q13+'JULY 2023'!P13</f>
        <v>0</v>
      </c>
      <c r="R13" s="9">
        <v>0</v>
      </c>
      <c r="S13" s="9">
        <f>'June 2023'!S13+'JULY 2023'!R13</f>
        <v>0</v>
      </c>
      <c r="T13" s="10">
        <f t="shared" si="2"/>
        <v>87.2</v>
      </c>
      <c r="U13" s="10">
        <f t="shared" si="3"/>
        <v>1272.0139999999999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'June 2023'!H14</f>
        <v>2084.0799999999995</v>
      </c>
      <c r="D14" s="9">
        <v>0</v>
      </c>
      <c r="E14" s="9">
        <f>'June 2023'!E14+'JULY 2023'!D14</f>
        <v>0</v>
      </c>
      <c r="F14" s="9">
        <v>0</v>
      </c>
      <c r="G14" s="9">
        <f>'June 2023'!G14+'JULY 2023'!F14</f>
        <v>0.5</v>
      </c>
      <c r="H14" s="9">
        <f t="shared" si="0"/>
        <v>2084.0799999999995</v>
      </c>
      <c r="I14" s="9">
        <f>'June 2023'!N14</f>
        <v>212.81399999999999</v>
      </c>
      <c r="J14" s="9">
        <v>0.61</v>
      </c>
      <c r="K14" s="9">
        <f>'June 2023'!K14+'JULY 2023'!J14</f>
        <v>4.29</v>
      </c>
      <c r="L14" s="9">
        <v>0</v>
      </c>
      <c r="M14" s="9">
        <f>'June 2023'!M14+'JULY 2023'!L14</f>
        <v>0</v>
      </c>
      <c r="N14" s="9">
        <f t="shared" si="1"/>
        <v>213.42400000000001</v>
      </c>
      <c r="O14" s="10">
        <f>'June 2023'!T14</f>
        <v>404.10999999999996</v>
      </c>
      <c r="P14" s="9">
        <v>0.12</v>
      </c>
      <c r="Q14" s="9">
        <f>'June 2023'!Q14+'JULY 2023'!P14</f>
        <v>0.65</v>
      </c>
      <c r="R14" s="9">
        <v>0</v>
      </c>
      <c r="S14" s="9">
        <f>'June 2023'!S14+'JULY 2023'!R14</f>
        <v>0</v>
      </c>
      <c r="T14" s="10">
        <f t="shared" si="2"/>
        <v>404.22999999999996</v>
      </c>
      <c r="U14" s="10">
        <f t="shared" si="3"/>
        <v>2701.7339999999995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'June 2023'!H15</f>
        <v>3326.739999999998</v>
      </c>
      <c r="D15" s="15">
        <f t="shared" ref="D15:U15" si="6">SUM(D12:D14)</f>
        <v>0</v>
      </c>
      <c r="E15" s="15">
        <f t="shared" si="6"/>
        <v>0</v>
      </c>
      <c r="F15" s="15">
        <f t="shared" si="6"/>
        <v>0</v>
      </c>
      <c r="G15" s="15">
        <f t="shared" si="6"/>
        <v>0.5</v>
      </c>
      <c r="H15" s="15">
        <f t="shared" si="6"/>
        <v>3326.739999999998</v>
      </c>
      <c r="I15" s="15">
        <f>'June 2023'!N15</f>
        <v>464.07100000000003</v>
      </c>
      <c r="J15" s="15">
        <f t="shared" si="6"/>
        <v>2.52</v>
      </c>
      <c r="K15" s="15">
        <f t="shared" si="6"/>
        <v>9.91</v>
      </c>
      <c r="L15" s="15">
        <f t="shared" si="6"/>
        <v>0</v>
      </c>
      <c r="M15" s="15">
        <f t="shared" si="6"/>
        <v>0</v>
      </c>
      <c r="N15" s="15">
        <f t="shared" si="6"/>
        <v>466.59100000000007</v>
      </c>
      <c r="O15" s="41">
        <f>'June 2023'!T15</f>
        <v>2039.6999999999998</v>
      </c>
      <c r="P15" s="15">
        <f t="shared" si="6"/>
        <v>0.12</v>
      </c>
      <c r="Q15" s="15">
        <f t="shared" si="6"/>
        <v>1.02</v>
      </c>
      <c r="R15" s="15">
        <f t="shared" si="6"/>
        <v>0</v>
      </c>
      <c r="S15" s="15">
        <f t="shared" si="6"/>
        <v>0</v>
      </c>
      <c r="T15" s="15">
        <f t="shared" si="6"/>
        <v>2039.82</v>
      </c>
      <c r="U15" s="15">
        <f t="shared" si="6"/>
        <v>5833.150999999998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'June 2023'!H16</f>
        <v>1313.2019999999993</v>
      </c>
      <c r="D16" s="9">
        <v>6.65</v>
      </c>
      <c r="E16" s="9">
        <f>'June 2023'!E16+'JULY 2023'!D16</f>
        <v>12.52</v>
      </c>
      <c r="F16" s="9">
        <v>0</v>
      </c>
      <c r="G16" s="9">
        <f>'June 2023'!G16+'JULY 2023'!F16</f>
        <v>0</v>
      </c>
      <c r="H16" s="9">
        <f t="shared" si="0"/>
        <v>1319.8519999999994</v>
      </c>
      <c r="I16" s="9">
        <f>'June 2023'!N16</f>
        <v>114.21000000000005</v>
      </c>
      <c r="J16" s="9">
        <v>1.23</v>
      </c>
      <c r="K16" s="9">
        <f>'June 2023'!K16+'JULY 2023'!J16</f>
        <v>1.47</v>
      </c>
      <c r="L16" s="9">
        <v>0</v>
      </c>
      <c r="M16" s="9">
        <f>'June 2023'!M16+'JULY 2023'!L16</f>
        <v>0</v>
      </c>
      <c r="N16" s="9">
        <f t="shared" si="1"/>
        <v>115.44000000000005</v>
      </c>
      <c r="O16" s="10">
        <f>'June 2023'!T16</f>
        <v>964.95900000000017</v>
      </c>
      <c r="P16" s="9">
        <v>2.77</v>
      </c>
      <c r="Q16" s="9">
        <f>'June 2023'!Q16+'JULY 2023'!P16</f>
        <v>92.47999999999999</v>
      </c>
      <c r="R16" s="9">
        <v>0</v>
      </c>
      <c r="S16" s="9">
        <f>'June 2023'!S16+'JULY 2023'!R16</f>
        <v>0</v>
      </c>
      <c r="T16" s="10">
        <f t="shared" si="2"/>
        <v>967.72900000000016</v>
      </c>
      <c r="U16" s="10">
        <f t="shared" si="3"/>
        <v>2403.0209999999997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'June 2023'!H17</f>
        <v>236.65399999999988</v>
      </c>
      <c r="D17" s="9">
        <v>0</v>
      </c>
      <c r="E17" s="9">
        <f>'June 2023'!E17+'JULY 2023'!D17</f>
        <v>0</v>
      </c>
      <c r="F17" s="9">
        <v>0</v>
      </c>
      <c r="G17" s="9">
        <f>'June 2023'!G17+'JULY 2023'!F17</f>
        <v>2.7</v>
      </c>
      <c r="H17" s="9">
        <f t="shared" si="0"/>
        <v>236.65399999999988</v>
      </c>
      <c r="I17" s="9">
        <f>'June 2023'!N17</f>
        <v>30.176999999999992</v>
      </c>
      <c r="J17" s="9">
        <v>0.17</v>
      </c>
      <c r="K17" s="9">
        <f>'June 2023'!K17+'JULY 2023'!J17</f>
        <v>0.65</v>
      </c>
      <c r="L17" s="9">
        <v>0</v>
      </c>
      <c r="M17" s="9">
        <f>'June 2023'!M17+'JULY 2023'!L17</f>
        <v>0</v>
      </c>
      <c r="N17" s="9">
        <f t="shared" si="1"/>
        <v>30.346999999999994</v>
      </c>
      <c r="O17" s="10">
        <f>'June 2023'!T17</f>
        <v>501.90100000000001</v>
      </c>
      <c r="P17" s="9">
        <v>0</v>
      </c>
      <c r="Q17" s="9">
        <f>'June 2023'!Q17+'JULY 2023'!P17</f>
        <v>87.36</v>
      </c>
      <c r="R17" s="9">
        <v>0</v>
      </c>
      <c r="S17" s="9">
        <f>'June 2023'!S17+'JULY 2023'!R17</f>
        <v>0</v>
      </c>
      <c r="T17" s="10">
        <f t="shared" si="2"/>
        <v>501.90100000000001</v>
      </c>
      <c r="U17" s="10">
        <f t="shared" si="3"/>
        <v>768.90199999999982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'June 2023'!H18</f>
        <v>478.13499999999931</v>
      </c>
      <c r="D18" s="9">
        <v>0</v>
      </c>
      <c r="E18" s="9">
        <f>'June 2023'!E18+'JULY 2023'!D18</f>
        <v>0</v>
      </c>
      <c r="F18" s="9">
        <v>0</v>
      </c>
      <c r="G18" s="9">
        <f>'June 2023'!G18+'JULY 2023'!F18</f>
        <v>0</v>
      </c>
      <c r="H18" s="9">
        <f t="shared" si="0"/>
        <v>478.13499999999931</v>
      </c>
      <c r="I18" s="9">
        <f>'June 2023'!N18</f>
        <v>15.159999999999989</v>
      </c>
      <c r="J18" s="9">
        <v>0</v>
      </c>
      <c r="K18" s="9">
        <f>'June 2023'!K18+'JULY 2023'!J18</f>
        <v>0.14000000000000001</v>
      </c>
      <c r="L18" s="9">
        <v>0</v>
      </c>
      <c r="M18" s="9">
        <f>'June 2023'!M18+'JULY 2023'!L18</f>
        <v>0.12</v>
      </c>
      <c r="N18" s="9">
        <f t="shared" si="1"/>
        <v>15.159999999999989</v>
      </c>
      <c r="O18" s="10">
        <f>'June 2023'!T18</f>
        <v>480.89799999999997</v>
      </c>
      <c r="P18" s="9">
        <v>0</v>
      </c>
      <c r="Q18" s="9">
        <f>'June 2023'!Q18+'JULY 2023'!P18</f>
        <v>0.06</v>
      </c>
      <c r="R18" s="9">
        <v>0</v>
      </c>
      <c r="S18" s="9">
        <f>'June 2023'!S18+'JULY 2023'!R18</f>
        <v>0</v>
      </c>
      <c r="T18" s="10">
        <f t="shared" si="2"/>
        <v>480.89799999999997</v>
      </c>
      <c r="U18" s="10">
        <f t="shared" si="3"/>
        <v>974.1929999999993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'June 2023'!H19</f>
        <v>2027.9909999999986</v>
      </c>
      <c r="D19" s="15">
        <f t="shared" ref="D19:U19" si="7">SUM(D16:D18)</f>
        <v>6.65</v>
      </c>
      <c r="E19" s="15">
        <f t="shared" si="7"/>
        <v>12.52</v>
      </c>
      <c r="F19" s="15">
        <f t="shared" si="7"/>
        <v>0</v>
      </c>
      <c r="G19" s="15">
        <f t="shared" si="7"/>
        <v>2.7</v>
      </c>
      <c r="H19" s="15">
        <f t="shared" si="7"/>
        <v>2034.6409999999987</v>
      </c>
      <c r="I19" s="15">
        <f>'June 2023'!N19</f>
        <v>159.54700000000005</v>
      </c>
      <c r="J19" s="15">
        <f t="shared" si="7"/>
        <v>1.4</v>
      </c>
      <c r="K19" s="15">
        <f t="shared" si="7"/>
        <v>2.2600000000000002</v>
      </c>
      <c r="L19" s="15">
        <f t="shared" si="7"/>
        <v>0</v>
      </c>
      <c r="M19" s="15">
        <f t="shared" si="7"/>
        <v>0.12</v>
      </c>
      <c r="N19" s="15">
        <f t="shared" si="7"/>
        <v>160.94700000000003</v>
      </c>
      <c r="O19" s="41">
        <f>'June 2023'!T19</f>
        <v>1947.758</v>
      </c>
      <c r="P19" s="15">
        <f t="shared" si="7"/>
        <v>2.77</v>
      </c>
      <c r="Q19" s="15">
        <f t="shared" si="7"/>
        <v>179.89999999999998</v>
      </c>
      <c r="R19" s="15">
        <f t="shared" si="7"/>
        <v>0</v>
      </c>
      <c r="S19" s="15">
        <f t="shared" si="7"/>
        <v>0</v>
      </c>
      <c r="T19" s="15">
        <f t="shared" si="7"/>
        <v>1950.528</v>
      </c>
      <c r="U19" s="15">
        <f t="shared" si="7"/>
        <v>4146.1159999999991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'June 2023'!H20</f>
        <v>1024.4549999999992</v>
      </c>
      <c r="D20" s="9">
        <v>0</v>
      </c>
      <c r="E20" s="9">
        <f>'June 2023'!E20+'JULY 2023'!D20</f>
        <v>0</v>
      </c>
      <c r="F20" s="9">
        <v>0</v>
      </c>
      <c r="G20" s="9">
        <f>'June 2023'!G20+'JULY 2023'!F20</f>
        <v>0</v>
      </c>
      <c r="H20" s="9">
        <f t="shared" si="0"/>
        <v>1024.4549999999992</v>
      </c>
      <c r="I20" s="9">
        <f>'June 2023'!N20</f>
        <v>156.34100000000012</v>
      </c>
      <c r="J20" s="9">
        <v>0.28000000000000003</v>
      </c>
      <c r="K20" s="9">
        <f>'June 2023'!K20+'JULY 2023'!J20</f>
        <v>1.38</v>
      </c>
      <c r="L20" s="9">
        <v>0</v>
      </c>
      <c r="M20" s="9">
        <f>'June 2023'!M20+'JULY 2023'!L20</f>
        <v>0</v>
      </c>
      <c r="N20" s="9">
        <f t="shared" si="1"/>
        <v>156.62100000000012</v>
      </c>
      <c r="O20" s="10">
        <f>'June 2023'!T20</f>
        <v>743.10099999999989</v>
      </c>
      <c r="P20" s="9">
        <v>0.5</v>
      </c>
      <c r="Q20" s="9">
        <f>'June 2023'!Q20+'JULY 2023'!P20</f>
        <v>0.88</v>
      </c>
      <c r="R20" s="9">
        <v>0</v>
      </c>
      <c r="S20" s="9">
        <f>'June 2023'!S20+'JULY 2023'!R20</f>
        <v>0</v>
      </c>
      <c r="T20" s="10">
        <f t="shared" si="2"/>
        <v>743.60099999999989</v>
      </c>
      <c r="U20" s="10">
        <f t="shared" si="3"/>
        <v>1924.6769999999992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'June 2023'!H21</f>
        <v>142.68999999999988</v>
      </c>
      <c r="D21" s="9">
        <v>0</v>
      </c>
      <c r="E21" s="9">
        <f>'June 2023'!E21+'JULY 2023'!D21</f>
        <v>0</v>
      </c>
      <c r="F21" s="9">
        <v>90.67</v>
      </c>
      <c r="G21" s="9">
        <f>'June 2023'!G21+'JULY 2023'!F21</f>
        <v>90.67</v>
      </c>
      <c r="H21" s="9">
        <f t="shared" si="0"/>
        <v>52.019999999999882</v>
      </c>
      <c r="I21" s="9">
        <f>'June 2023'!N21</f>
        <v>55.123000000000019</v>
      </c>
      <c r="J21" s="9">
        <v>0</v>
      </c>
      <c r="K21" s="9">
        <f>'June 2023'!K21+'JULY 2023'!J21</f>
        <v>2.3400000000000003</v>
      </c>
      <c r="L21" s="9">
        <v>0</v>
      </c>
      <c r="M21" s="9">
        <f>'June 2023'!M21+'JULY 2023'!L21</f>
        <v>0</v>
      </c>
      <c r="N21" s="9">
        <f t="shared" si="1"/>
        <v>55.123000000000019</v>
      </c>
      <c r="O21" s="10">
        <f>'June 2023'!T21</f>
        <v>311.77999999999997</v>
      </c>
      <c r="P21" s="9">
        <v>0</v>
      </c>
      <c r="Q21" s="9">
        <f>'June 2023'!Q21+'JULY 2023'!P21</f>
        <v>0.88</v>
      </c>
      <c r="R21" s="9">
        <v>2.48</v>
      </c>
      <c r="S21" s="9">
        <f>'June 2023'!S21+'JULY 2023'!R21</f>
        <v>2.48</v>
      </c>
      <c r="T21" s="10">
        <f t="shared" si="2"/>
        <v>309.29999999999995</v>
      </c>
      <c r="U21" s="10">
        <f t="shared" si="3"/>
        <v>416.44299999999987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'June 2023'!H22</f>
        <v>27.069999999999879</v>
      </c>
      <c r="D22" s="9">
        <v>0</v>
      </c>
      <c r="E22" s="9">
        <f>'June 2023'!E22+'JULY 2023'!D22</f>
        <v>0</v>
      </c>
      <c r="F22" s="9">
        <v>0</v>
      </c>
      <c r="G22" s="9">
        <f>'June 2023'!G22+'JULY 2023'!F22</f>
        <v>0</v>
      </c>
      <c r="H22" s="9">
        <f t="shared" si="0"/>
        <v>27.069999999999879</v>
      </c>
      <c r="I22" s="9">
        <f>'June 2023'!N22</f>
        <v>15.940000000000005</v>
      </c>
      <c r="J22" s="9">
        <v>0</v>
      </c>
      <c r="K22" s="9">
        <f>'June 2023'!K22+'JULY 2023'!J22</f>
        <v>0</v>
      </c>
      <c r="L22" s="9">
        <v>0</v>
      </c>
      <c r="M22" s="9">
        <f>'June 2023'!M22+'JULY 2023'!L22</f>
        <v>0</v>
      </c>
      <c r="N22" s="9">
        <f t="shared" si="1"/>
        <v>15.940000000000005</v>
      </c>
      <c r="O22" s="10">
        <f>'June 2023'!T22</f>
        <v>776.39999999999975</v>
      </c>
      <c r="P22" s="9">
        <v>0.05</v>
      </c>
      <c r="Q22" s="9">
        <f>'June 2023'!Q22+'JULY 2023'!P22</f>
        <v>0.42</v>
      </c>
      <c r="R22" s="9">
        <v>0</v>
      </c>
      <c r="S22" s="9">
        <f>'June 2023'!S22+'JULY 2023'!R22</f>
        <v>0</v>
      </c>
      <c r="T22" s="10">
        <f t="shared" si="2"/>
        <v>776.4499999999997</v>
      </c>
      <c r="U22" s="10">
        <f t="shared" si="3"/>
        <v>819.45999999999958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'June 2023'!H23</f>
        <v>1139.7419999999997</v>
      </c>
      <c r="D23" s="9">
        <v>1.54</v>
      </c>
      <c r="E23" s="9">
        <f>'June 2023'!E23+'JULY 2023'!D23</f>
        <v>8.08</v>
      </c>
      <c r="F23" s="9">
        <v>0</v>
      </c>
      <c r="G23" s="9">
        <f>'June 2023'!G23+'JULY 2023'!F23</f>
        <v>0</v>
      </c>
      <c r="H23" s="9">
        <f t="shared" si="0"/>
        <v>1141.2819999999997</v>
      </c>
      <c r="I23" s="9">
        <f>'June 2023'!N23</f>
        <v>52.623999999999988</v>
      </c>
      <c r="J23" s="9">
        <v>1.01</v>
      </c>
      <c r="K23" s="9">
        <f>'June 2023'!K23+'JULY 2023'!J23</f>
        <v>3.4299999999999997</v>
      </c>
      <c r="L23" s="9">
        <v>0</v>
      </c>
      <c r="M23" s="9">
        <f>'June 2023'!M23+'JULY 2023'!L23</f>
        <v>0</v>
      </c>
      <c r="N23" s="9">
        <f t="shared" si="1"/>
        <v>53.633999999999986</v>
      </c>
      <c r="O23" s="10">
        <f>'June 2023'!T23</f>
        <v>407.09499999999997</v>
      </c>
      <c r="P23" s="9">
        <v>3.69</v>
      </c>
      <c r="Q23" s="9">
        <f>'June 2023'!Q23+'JULY 2023'!P23</f>
        <v>5.9499999999999993</v>
      </c>
      <c r="R23" s="9">
        <v>0</v>
      </c>
      <c r="S23" s="9">
        <f>'June 2023'!S23+'JULY 2023'!R23</f>
        <v>0</v>
      </c>
      <c r="T23" s="10">
        <f t="shared" si="2"/>
        <v>410.78499999999997</v>
      </c>
      <c r="U23" s="10">
        <f t="shared" si="3"/>
        <v>1605.7009999999996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'June 2023'!H24</f>
        <v>2333.9569999999985</v>
      </c>
      <c r="D24" s="15">
        <f t="shared" ref="D24:U24" si="8">SUM(D20:D23)</f>
        <v>1.54</v>
      </c>
      <c r="E24" s="15">
        <f t="shared" si="8"/>
        <v>8.08</v>
      </c>
      <c r="F24" s="15">
        <f t="shared" si="8"/>
        <v>90.67</v>
      </c>
      <c r="G24" s="15">
        <f t="shared" si="8"/>
        <v>90.67</v>
      </c>
      <c r="H24" s="15">
        <f t="shared" si="8"/>
        <v>2244.8269999999989</v>
      </c>
      <c r="I24" s="15">
        <f>'June 2023'!N24</f>
        <v>280.02800000000013</v>
      </c>
      <c r="J24" s="15">
        <f t="shared" si="8"/>
        <v>1.29</v>
      </c>
      <c r="K24" s="15">
        <f t="shared" si="8"/>
        <v>7.15</v>
      </c>
      <c r="L24" s="15">
        <f t="shared" si="8"/>
        <v>0</v>
      </c>
      <c r="M24" s="15">
        <f t="shared" si="8"/>
        <v>0</v>
      </c>
      <c r="N24" s="15">
        <f t="shared" si="8"/>
        <v>281.3180000000001</v>
      </c>
      <c r="O24" s="41">
        <f>'June 2023'!T24</f>
        <v>2238.3759999999993</v>
      </c>
      <c r="P24" s="15">
        <f t="shared" si="8"/>
        <v>4.24</v>
      </c>
      <c r="Q24" s="15">
        <f t="shared" si="8"/>
        <v>8.129999999999999</v>
      </c>
      <c r="R24" s="15">
        <f t="shared" si="8"/>
        <v>2.48</v>
      </c>
      <c r="S24" s="15">
        <f t="shared" si="8"/>
        <v>2.48</v>
      </c>
      <c r="T24" s="15">
        <f t="shared" si="8"/>
        <v>2240.1359999999995</v>
      </c>
      <c r="U24" s="15">
        <f t="shared" si="8"/>
        <v>4766.2809999999981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'June 2023'!H25</f>
        <v>8924.7429999999949</v>
      </c>
      <c r="D25" s="15">
        <f t="shared" ref="D25:U25" si="9">D24+D19+D15+D11</f>
        <v>8.5200000000000014</v>
      </c>
      <c r="E25" s="15">
        <f t="shared" si="9"/>
        <v>21.44</v>
      </c>
      <c r="F25" s="15">
        <f t="shared" si="9"/>
        <v>90.67</v>
      </c>
      <c r="G25" s="15">
        <f t="shared" si="9"/>
        <v>93.87</v>
      </c>
      <c r="H25" s="15">
        <f t="shared" si="9"/>
        <v>8842.5929999999953</v>
      </c>
      <c r="I25" s="15">
        <f>'June 2023'!N25</f>
        <v>1635.3880000000004</v>
      </c>
      <c r="J25" s="15">
        <f t="shared" si="9"/>
        <v>10.105</v>
      </c>
      <c r="K25" s="15">
        <f t="shared" si="9"/>
        <v>75.448999999999998</v>
      </c>
      <c r="L25" s="15">
        <f t="shared" si="9"/>
        <v>0</v>
      </c>
      <c r="M25" s="15">
        <f t="shared" si="9"/>
        <v>0.12</v>
      </c>
      <c r="N25" s="15">
        <f t="shared" si="9"/>
        <v>1645.4930000000004</v>
      </c>
      <c r="O25" s="41">
        <f>'June 2023'!T25</f>
        <v>7421.6039999999994</v>
      </c>
      <c r="P25" s="15">
        <f t="shared" si="9"/>
        <v>61.940000000000005</v>
      </c>
      <c r="Q25" s="15">
        <f t="shared" si="9"/>
        <v>451.58999999999992</v>
      </c>
      <c r="R25" s="15">
        <f t="shared" si="9"/>
        <v>2.48</v>
      </c>
      <c r="S25" s="15">
        <f t="shared" si="9"/>
        <v>21.72</v>
      </c>
      <c r="T25" s="15">
        <f t="shared" si="9"/>
        <v>7481.0639999999994</v>
      </c>
      <c r="U25" s="15">
        <f t="shared" si="9"/>
        <v>17969.149999999994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'June 2023'!H26</f>
        <v>1253.0719999999997</v>
      </c>
      <c r="D26" s="9">
        <v>6.97</v>
      </c>
      <c r="E26" s="9">
        <f>'June 2023'!E26+'JULY 2023'!D26</f>
        <v>22.06</v>
      </c>
      <c r="F26" s="9">
        <v>0</v>
      </c>
      <c r="G26" s="9">
        <f>'June 2023'!G26+'JULY 2023'!F26</f>
        <v>0.02</v>
      </c>
      <c r="H26" s="9">
        <f t="shared" si="0"/>
        <v>1260.0419999999997</v>
      </c>
      <c r="I26" s="9">
        <f>'June 2023'!N26</f>
        <v>0.76</v>
      </c>
      <c r="J26" s="9">
        <v>0</v>
      </c>
      <c r="K26" s="9">
        <f>'June 2023'!K26+'JULY 2023'!J26</f>
        <v>0.65</v>
      </c>
      <c r="L26" s="9">
        <v>0</v>
      </c>
      <c r="M26" s="9">
        <f>'June 2023'!M26+'JULY 2023'!L26</f>
        <v>0</v>
      </c>
      <c r="N26" s="9">
        <f t="shared" si="1"/>
        <v>0.76</v>
      </c>
      <c r="O26" s="10">
        <f>'June 2023'!T26</f>
        <v>206.20000000000002</v>
      </c>
      <c r="P26" s="9">
        <v>0.03</v>
      </c>
      <c r="Q26" s="9">
        <f>'June 2023'!Q26+'JULY 2023'!P26</f>
        <v>2.4999999999999996</v>
      </c>
      <c r="R26" s="9">
        <v>0</v>
      </c>
      <c r="S26" s="9">
        <f>'June 2023'!S26+'JULY 2023'!R26</f>
        <v>0</v>
      </c>
      <c r="T26" s="10">
        <f t="shared" si="2"/>
        <v>206.23000000000002</v>
      </c>
      <c r="U26" s="10">
        <f t="shared" si="3"/>
        <v>1467.0319999999997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'June 2023'!H27</f>
        <v>10442.086999999992</v>
      </c>
      <c r="D27" s="9">
        <v>9.18</v>
      </c>
      <c r="E27" s="9">
        <f>'June 2023'!E27+'JULY 2023'!D27</f>
        <v>37.11</v>
      </c>
      <c r="F27" s="9">
        <v>0</v>
      </c>
      <c r="G27" s="9">
        <f>'June 2023'!G27+'JULY 2023'!F27</f>
        <v>0</v>
      </c>
      <c r="H27" s="9">
        <f t="shared" si="0"/>
        <v>10451.266999999993</v>
      </c>
      <c r="I27" s="9">
        <f>'June 2023'!N27</f>
        <v>415.49499999999995</v>
      </c>
      <c r="J27" s="9">
        <v>3.7</v>
      </c>
      <c r="K27" s="9">
        <f>'June 2023'!K27+'JULY 2023'!J27</f>
        <v>10.760000000000002</v>
      </c>
      <c r="L27" s="9">
        <v>0</v>
      </c>
      <c r="M27" s="9">
        <f>'June 2023'!M27+'JULY 2023'!L27</f>
        <v>0</v>
      </c>
      <c r="N27" s="9">
        <f t="shared" si="1"/>
        <v>419.19499999999994</v>
      </c>
      <c r="O27" s="10">
        <f>'June 2023'!T27</f>
        <v>44.380000000000017</v>
      </c>
      <c r="P27" s="9">
        <v>0.76</v>
      </c>
      <c r="Q27" s="9">
        <f>'June 2023'!Q27+'JULY 2023'!P27</f>
        <v>1.62</v>
      </c>
      <c r="R27" s="9">
        <v>0</v>
      </c>
      <c r="S27" s="9">
        <f>'June 2023'!S27+'JULY 2023'!R27</f>
        <v>0</v>
      </c>
      <c r="T27" s="10">
        <f t="shared" si="2"/>
        <v>45.140000000000015</v>
      </c>
      <c r="U27" s="10">
        <f t="shared" si="3"/>
        <v>10915.601999999992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'June 2023'!H28</f>
        <v>11695.158999999992</v>
      </c>
      <c r="D28" s="15">
        <f t="shared" ref="D28:U28" si="10">SUM(D26:D27)</f>
        <v>16.149999999999999</v>
      </c>
      <c r="E28" s="15">
        <f t="shared" si="10"/>
        <v>59.17</v>
      </c>
      <c r="F28" s="15">
        <f t="shared" si="10"/>
        <v>0</v>
      </c>
      <c r="G28" s="15">
        <f t="shared" si="10"/>
        <v>0.02</v>
      </c>
      <c r="H28" s="15">
        <f t="shared" si="10"/>
        <v>11711.308999999992</v>
      </c>
      <c r="I28" s="15">
        <f>'June 2023'!N28</f>
        <v>416.25499999999994</v>
      </c>
      <c r="J28" s="15">
        <f t="shared" si="10"/>
        <v>3.7</v>
      </c>
      <c r="K28" s="15">
        <f t="shared" si="10"/>
        <v>11.410000000000002</v>
      </c>
      <c r="L28" s="15">
        <f t="shared" si="10"/>
        <v>0</v>
      </c>
      <c r="M28" s="15">
        <f t="shared" si="10"/>
        <v>0</v>
      </c>
      <c r="N28" s="15">
        <f t="shared" si="10"/>
        <v>419.95499999999993</v>
      </c>
      <c r="O28" s="41">
        <f>'June 2023'!T28</f>
        <v>250.58000000000004</v>
      </c>
      <c r="P28" s="15">
        <f t="shared" si="10"/>
        <v>0.79</v>
      </c>
      <c r="Q28" s="15">
        <f t="shared" si="10"/>
        <v>4.1199999999999992</v>
      </c>
      <c r="R28" s="15">
        <f t="shared" si="10"/>
        <v>0</v>
      </c>
      <c r="S28" s="15">
        <f t="shared" si="10"/>
        <v>0</v>
      </c>
      <c r="T28" s="15">
        <f t="shared" si="10"/>
        <v>251.37000000000003</v>
      </c>
      <c r="U28" s="15">
        <f t="shared" si="10"/>
        <v>12382.633999999991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'June 2023'!H29</f>
        <v>4597.0590000000011</v>
      </c>
      <c r="D29" s="9">
        <v>12.35</v>
      </c>
      <c r="E29" s="9">
        <f>'June 2023'!E29+'JULY 2023'!D29</f>
        <v>58.37</v>
      </c>
      <c r="F29" s="9">
        <v>0</v>
      </c>
      <c r="G29" s="9">
        <f>'June 2023'!G29+'JULY 2023'!F29</f>
        <v>0</v>
      </c>
      <c r="H29" s="9">
        <f t="shared" si="0"/>
        <v>4609.4090000000015</v>
      </c>
      <c r="I29" s="9">
        <f>'June 2023'!N29</f>
        <v>184.70000000000002</v>
      </c>
      <c r="J29" s="9">
        <v>0</v>
      </c>
      <c r="K29" s="9">
        <f>'June 2023'!K29+'JULY 2023'!J29</f>
        <v>0</v>
      </c>
      <c r="L29" s="9">
        <v>0</v>
      </c>
      <c r="M29" s="9">
        <f>'June 2023'!M29+'JULY 2023'!L29</f>
        <v>0</v>
      </c>
      <c r="N29" s="9">
        <f t="shared" si="1"/>
        <v>184.70000000000002</v>
      </c>
      <c r="O29" s="10">
        <f>'June 2023'!T29</f>
        <v>606.78599999999994</v>
      </c>
      <c r="P29" s="9">
        <f>0.08+51.11+7.67</f>
        <v>58.86</v>
      </c>
      <c r="Q29" s="9">
        <f>'June 2023'!Q29+'JULY 2023'!P29</f>
        <v>148.376</v>
      </c>
      <c r="R29" s="9">
        <v>0</v>
      </c>
      <c r="S29" s="9">
        <f>'June 2023'!S29+'JULY 2023'!R29</f>
        <v>0</v>
      </c>
      <c r="T29" s="10">
        <f t="shared" si="2"/>
        <v>665.64599999999996</v>
      </c>
      <c r="U29" s="10">
        <f t="shared" si="3"/>
        <v>5459.755000000001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'June 2023'!H30</f>
        <v>6489.2920000000022</v>
      </c>
      <c r="D30" s="9">
        <v>18.605</v>
      </c>
      <c r="E30" s="9">
        <f>'June 2023'!E30+'JULY 2023'!D30</f>
        <v>56.905000000000001</v>
      </c>
      <c r="F30" s="9">
        <v>0</v>
      </c>
      <c r="G30" s="9">
        <f>'June 2023'!G30+'JULY 2023'!F30</f>
        <v>0</v>
      </c>
      <c r="H30" s="9">
        <f t="shared" si="0"/>
        <v>6507.8970000000018</v>
      </c>
      <c r="I30" s="9">
        <f>'June 2023'!N30</f>
        <v>134.70000000000002</v>
      </c>
      <c r="J30" s="9">
        <v>0</v>
      </c>
      <c r="K30" s="9">
        <f>'June 2023'!K30+'JULY 2023'!J30</f>
        <v>3.9</v>
      </c>
      <c r="L30" s="9">
        <v>0</v>
      </c>
      <c r="M30" s="9">
        <f>'June 2023'!M30+'JULY 2023'!L30</f>
        <v>0</v>
      </c>
      <c r="N30" s="9">
        <f t="shared" si="1"/>
        <v>134.70000000000002</v>
      </c>
      <c r="O30" s="10">
        <f>'June 2023'!T30</f>
        <v>284.60000000000002</v>
      </c>
      <c r="P30" s="9">
        <v>26.52</v>
      </c>
      <c r="Q30" s="9">
        <f>'June 2023'!Q30+'JULY 2023'!P30</f>
        <v>116.33999999999999</v>
      </c>
      <c r="R30" s="9">
        <v>0</v>
      </c>
      <c r="S30" s="9">
        <f>'June 2023'!S30+'JULY 2023'!R30</f>
        <v>0</v>
      </c>
      <c r="T30" s="10">
        <f t="shared" si="2"/>
        <v>311.12</v>
      </c>
      <c r="U30" s="10">
        <f t="shared" si="3"/>
        <v>6953.7170000000015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'June 2023'!H31</f>
        <v>3140.0869999999995</v>
      </c>
      <c r="D31" s="9">
        <v>4.4800000000000004</v>
      </c>
      <c r="E31" s="9">
        <f>'June 2023'!E31+'JULY 2023'!D31</f>
        <v>16.212</v>
      </c>
      <c r="F31" s="9">
        <v>0</v>
      </c>
      <c r="G31" s="9">
        <f>'June 2023'!G31+'JULY 2023'!F31</f>
        <v>0</v>
      </c>
      <c r="H31" s="9">
        <f t="shared" si="0"/>
        <v>3144.5669999999996</v>
      </c>
      <c r="I31" s="9">
        <f>'June 2023'!N31</f>
        <v>50.180000000000007</v>
      </c>
      <c r="J31" s="9">
        <v>0</v>
      </c>
      <c r="K31" s="9">
        <f>'June 2023'!K31+'JULY 2023'!J31</f>
        <v>0</v>
      </c>
      <c r="L31" s="9">
        <v>0</v>
      </c>
      <c r="M31" s="9">
        <f>'June 2023'!M31+'JULY 2023'!L31</f>
        <v>0</v>
      </c>
      <c r="N31" s="9">
        <f t="shared" si="1"/>
        <v>50.180000000000007</v>
      </c>
      <c r="O31" s="10">
        <f>'June 2023'!T31</f>
        <v>244.44</v>
      </c>
      <c r="P31" s="9">
        <v>0</v>
      </c>
      <c r="Q31" s="9">
        <f>'June 2023'!Q31+'JULY 2023'!P31</f>
        <v>0</v>
      </c>
      <c r="R31" s="9">
        <v>0</v>
      </c>
      <c r="S31" s="9">
        <f>'June 2023'!S31+'JULY 2023'!R31</f>
        <v>0</v>
      </c>
      <c r="T31" s="10">
        <f t="shared" si="2"/>
        <v>244.44</v>
      </c>
      <c r="U31" s="10">
        <f t="shared" si="3"/>
        <v>3439.1869999999994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'June 2023'!H32</f>
        <v>4410.8099999999995</v>
      </c>
      <c r="D32" s="9">
        <v>5.29</v>
      </c>
      <c r="E32" s="9">
        <f>'June 2023'!E32+'JULY 2023'!D32</f>
        <v>14.82</v>
      </c>
      <c r="F32" s="9">
        <v>0</v>
      </c>
      <c r="G32" s="9">
        <f>'June 2023'!G32+'JULY 2023'!F32</f>
        <v>0</v>
      </c>
      <c r="H32" s="9">
        <f t="shared" si="0"/>
        <v>4416.0999999999995</v>
      </c>
      <c r="I32" s="9">
        <f>'June 2023'!N32</f>
        <v>242.82999999999996</v>
      </c>
      <c r="J32" s="9">
        <v>2</v>
      </c>
      <c r="K32" s="9">
        <f>'June 2023'!K32+'JULY 2023'!J32</f>
        <v>18.450000000000003</v>
      </c>
      <c r="L32" s="9">
        <v>0</v>
      </c>
      <c r="M32" s="9">
        <f>'June 2023'!M32+'JULY 2023'!L32</f>
        <v>0</v>
      </c>
      <c r="N32" s="9">
        <f t="shared" si="1"/>
        <v>244.82999999999996</v>
      </c>
      <c r="O32" s="10">
        <f>'June 2023'!T32</f>
        <v>243.69999999999996</v>
      </c>
      <c r="P32" s="9">
        <v>0</v>
      </c>
      <c r="Q32" s="9">
        <f>'June 2023'!Q32+'JULY 2023'!P32</f>
        <v>0.05</v>
      </c>
      <c r="R32" s="9">
        <v>0</v>
      </c>
      <c r="S32" s="9">
        <f>'June 2023'!S32+'JULY 2023'!R32</f>
        <v>0</v>
      </c>
      <c r="T32" s="10">
        <f t="shared" si="2"/>
        <v>243.69999999999996</v>
      </c>
      <c r="U32" s="10">
        <f t="shared" si="3"/>
        <v>4904.6299999999992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'June 2023'!H33</f>
        <v>18637.248</v>
      </c>
      <c r="D33" s="15">
        <f t="shared" ref="D33:U33" si="11">SUM(D29:D32)</f>
        <v>40.725000000000001</v>
      </c>
      <c r="E33" s="15">
        <f t="shared" si="11"/>
        <v>146.30699999999999</v>
      </c>
      <c r="F33" s="15">
        <f t="shared" si="11"/>
        <v>0</v>
      </c>
      <c r="G33" s="15">
        <f t="shared" si="11"/>
        <v>0</v>
      </c>
      <c r="H33" s="15">
        <f t="shared" si="11"/>
        <v>18677.973000000002</v>
      </c>
      <c r="I33" s="15">
        <f>'June 2023'!N33</f>
        <v>612.41</v>
      </c>
      <c r="J33" s="15">
        <f t="shared" si="11"/>
        <v>2</v>
      </c>
      <c r="K33" s="15">
        <f t="shared" si="11"/>
        <v>22.35</v>
      </c>
      <c r="L33" s="15">
        <f t="shared" si="11"/>
        <v>0</v>
      </c>
      <c r="M33" s="15">
        <f t="shared" si="11"/>
        <v>0</v>
      </c>
      <c r="N33" s="15">
        <f t="shared" si="11"/>
        <v>614.41</v>
      </c>
      <c r="O33" s="41">
        <f>'June 2023'!T33</f>
        <v>1379.5260000000001</v>
      </c>
      <c r="P33" s="15">
        <f t="shared" si="11"/>
        <v>85.38</v>
      </c>
      <c r="Q33" s="15">
        <f t="shared" si="11"/>
        <v>264.76600000000002</v>
      </c>
      <c r="R33" s="15">
        <f t="shared" si="11"/>
        <v>0</v>
      </c>
      <c r="S33" s="15">
        <f t="shared" si="11"/>
        <v>0</v>
      </c>
      <c r="T33" s="15">
        <f t="shared" si="11"/>
        <v>1464.9059999999999</v>
      </c>
      <c r="U33" s="15">
        <f t="shared" si="11"/>
        <v>20757.289000000001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'June 2023'!H34</f>
        <v>6234.5600000000022</v>
      </c>
      <c r="D34" s="9">
        <f>4.02+15.06+20.17</f>
        <v>39.25</v>
      </c>
      <c r="E34" s="9">
        <f>'June 2023'!E34+'JULY 2023'!D34</f>
        <v>145.81</v>
      </c>
      <c r="F34" s="9">
        <v>26.64</v>
      </c>
      <c r="G34" s="9">
        <f>'June 2023'!G34+'JULY 2023'!F34</f>
        <v>26.64</v>
      </c>
      <c r="H34" s="9">
        <f t="shared" si="0"/>
        <v>6247.1700000000019</v>
      </c>
      <c r="I34" s="9">
        <f>'June 2023'!N34</f>
        <v>2</v>
      </c>
      <c r="J34" s="9">
        <v>0</v>
      </c>
      <c r="K34" s="9">
        <f>'June 2023'!K34+'JULY 2023'!J34</f>
        <v>0</v>
      </c>
      <c r="L34" s="9">
        <v>0</v>
      </c>
      <c r="M34" s="9">
        <f>'June 2023'!M34+'JULY 2023'!L34</f>
        <v>0</v>
      </c>
      <c r="N34" s="9">
        <f t="shared" si="1"/>
        <v>2</v>
      </c>
      <c r="O34" s="10">
        <f>'June 2023'!T34</f>
        <v>38.880000000000003</v>
      </c>
      <c r="P34" s="9">
        <v>0</v>
      </c>
      <c r="Q34" s="9">
        <f>'June 2023'!Q34+'JULY 2023'!P34</f>
        <v>0.18</v>
      </c>
      <c r="R34" s="9">
        <v>17.010000000000002</v>
      </c>
      <c r="S34" s="9">
        <f>'June 2023'!S34+'JULY 2023'!R34</f>
        <v>17.010000000000002</v>
      </c>
      <c r="T34" s="10">
        <f t="shared" si="2"/>
        <v>21.87</v>
      </c>
      <c r="U34" s="10">
        <f t="shared" si="3"/>
        <v>6271.0400000000018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'June 2023'!H35</f>
        <v>6280.3850000000011</v>
      </c>
      <c r="D35" s="9">
        <f>28.84+437.5</f>
        <v>466.34</v>
      </c>
      <c r="E35" s="9">
        <f>'June 2023'!E35+'JULY 2023'!D35</f>
        <v>1836.9599999999998</v>
      </c>
      <c r="F35" s="9">
        <v>0</v>
      </c>
      <c r="G35" s="9">
        <f>'June 2023'!G35+'JULY 2023'!F35</f>
        <v>0</v>
      </c>
      <c r="H35" s="9">
        <f t="shared" si="0"/>
        <v>6746.7250000000013</v>
      </c>
      <c r="I35" s="9">
        <f>'June 2023'!N35</f>
        <v>0.1</v>
      </c>
      <c r="J35" s="9">
        <v>0</v>
      </c>
      <c r="K35" s="9">
        <f>'June 2023'!K35+'JULY 2023'!J35</f>
        <v>0</v>
      </c>
      <c r="L35" s="9">
        <v>0</v>
      </c>
      <c r="M35" s="9">
        <f>'June 2023'!M35+'JULY 2023'!L35</f>
        <v>0</v>
      </c>
      <c r="N35" s="9">
        <f t="shared" si="1"/>
        <v>0.1</v>
      </c>
      <c r="O35" s="10">
        <f>'June 2023'!T35</f>
        <v>125.47000000000001</v>
      </c>
      <c r="P35" s="9">
        <v>0</v>
      </c>
      <c r="Q35" s="9">
        <f>'June 2023'!Q35+'JULY 2023'!P35</f>
        <v>0</v>
      </c>
      <c r="R35" s="9">
        <v>0</v>
      </c>
      <c r="S35" s="9">
        <f>'June 2023'!S35+'JULY 2023'!R35</f>
        <v>0</v>
      </c>
      <c r="T35" s="10">
        <f t="shared" si="2"/>
        <v>125.47000000000001</v>
      </c>
      <c r="U35" s="10">
        <f t="shared" si="3"/>
        <v>6872.2950000000019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'June 2023'!H36</f>
        <v>20417.870000000006</v>
      </c>
      <c r="D36" s="9">
        <f>8.55+26.64+305.38</f>
        <v>340.57</v>
      </c>
      <c r="E36" s="9">
        <f>'June 2023'!E36+'JULY 2023'!D36</f>
        <v>1289.4199999999998</v>
      </c>
      <c r="F36" s="9">
        <v>0</v>
      </c>
      <c r="G36" s="9">
        <f>'June 2023'!G36+'JULY 2023'!F36</f>
        <v>0</v>
      </c>
      <c r="H36" s="9">
        <f t="shared" si="0"/>
        <v>20758.440000000006</v>
      </c>
      <c r="I36" s="9">
        <f>'June 2023'!N36</f>
        <v>8.5</v>
      </c>
      <c r="J36" s="9">
        <v>0</v>
      </c>
      <c r="K36" s="9">
        <f>'June 2023'!K36+'JULY 2023'!J36</f>
        <v>0</v>
      </c>
      <c r="L36" s="9">
        <v>0</v>
      </c>
      <c r="M36" s="9">
        <f>'June 2023'!M36+'JULY 2023'!L36</f>
        <v>0</v>
      </c>
      <c r="N36" s="9">
        <f t="shared" si="1"/>
        <v>8.5</v>
      </c>
      <c r="O36" s="10">
        <f>'June 2023'!T36</f>
        <v>72.39</v>
      </c>
      <c r="P36" s="9">
        <v>0</v>
      </c>
      <c r="Q36" s="9">
        <f>'June 2023'!Q36+'JULY 2023'!P36</f>
        <v>0</v>
      </c>
      <c r="R36" s="9">
        <v>0</v>
      </c>
      <c r="S36" s="9">
        <f>'June 2023'!S36+'JULY 2023'!R36</f>
        <v>0</v>
      </c>
      <c r="T36" s="10">
        <f t="shared" si="2"/>
        <v>72.39</v>
      </c>
      <c r="U36" s="10">
        <f t="shared" si="3"/>
        <v>20839.330000000005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'June 2023'!H37</f>
        <v>7033.3499999999995</v>
      </c>
      <c r="D37" s="9">
        <v>7.65</v>
      </c>
      <c r="E37" s="9">
        <f>'June 2023'!E37+'JULY 2023'!D37</f>
        <v>16.060000000000002</v>
      </c>
      <c r="F37" s="9">
        <v>0</v>
      </c>
      <c r="G37" s="9">
        <f>'June 2023'!G37+'JULY 2023'!F37</f>
        <v>0.02</v>
      </c>
      <c r="H37" s="9">
        <f t="shared" si="0"/>
        <v>7040.9999999999991</v>
      </c>
      <c r="I37" s="9">
        <f>'June 2023'!N37</f>
        <v>0</v>
      </c>
      <c r="J37" s="9">
        <v>0</v>
      </c>
      <c r="K37" s="9">
        <f>'June 2023'!K37+'JULY 2023'!J37</f>
        <v>0</v>
      </c>
      <c r="L37" s="9">
        <v>0</v>
      </c>
      <c r="M37" s="9">
        <f>'June 2023'!M37+'JULY 2023'!L37</f>
        <v>0</v>
      </c>
      <c r="N37" s="9">
        <f t="shared" si="1"/>
        <v>0</v>
      </c>
      <c r="O37" s="10">
        <f>'June 2023'!T37</f>
        <v>3.1</v>
      </c>
      <c r="P37" s="9">
        <v>0</v>
      </c>
      <c r="Q37" s="9">
        <f>'June 2023'!Q37+'JULY 2023'!P37</f>
        <v>0</v>
      </c>
      <c r="R37" s="9">
        <v>0</v>
      </c>
      <c r="S37" s="9">
        <f>'June 2023'!S37+'JULY 2023'!R37</f>
        <v>0</v>
      </c>
      <c r="T37" s="10">
        <f t="shared" si="2"/>
        <v>3.1</v>
      </c>
      <c r="U37" s="10">
        <f t="shared" si="3"/>
        <v>7044.0999999999995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'June 2023'!H38</f>
        <v>39966.165000000008</v>
      </c>
      <c r="D38" s="15">
        <f t="shared" ref="D38:U38" si="12">SUM(D34:D37)</f>
        <v>853.81</v>
      </c>
      <c r="E38" s="15">
        <f t="shared" si="12"/>
        <v>3288.2499999999995</v>
      </c>
      <c r="F38" s="15">
        <f t="shared" si="12"/>
        <v>26.64</v>
      </c>
      <c r="G38" s="15">
        <f t="shared" si="12"/>
        <v>26.66</v>
      </c>
      <c r="H38" s="15">
        <f t="shared" si="12"/>
        <v>40793.335000000006</v>
      </c>
      <c r="I38" s="15">
        <f>'June 2023'!N38</f>
        <v>10.6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12"/>
        <v>10.6</v>
      </c>
      <c r="O38" s="41">
        <f>'June 2023'!T38</f>
        <v>239.84</v>
      </c>
      <c r="P38" s="15">
        <f t="shared" si="12"/>
        <v>0</v>
      </c>
      <c r="Q38" s="15">
        <f t="shared" si="12"/>
        <v>0.18</v>
      </c>
      <c r="R38" s="15">
        <f t="shared" si="12"/>
        <v>17.010000000000002</v>
      </c>
      <c r="S38" s="15">
        <f t="shared" si="12"/>
        <v>17.010000000000002</v>
      </c>
      <c r="T38" s="15">
        <f t="shared" si="12"/>
        <v>222.83</v>
      </c>
      <c r="U38" s="15">
        <f t="shared" si="12"/>
        <v>41026.765000000007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'June 2023'!H39</f>
        <v>70298.572</v>
      </c>
      <c r="D39" s="15">
        <f t="shared" ref="D39:U39" si="13">D38+D33+D28</f>
        <v>910.68499999999995</v>
      </c>
      <c r="E39" s="15">
        <f t="shared" si="13"/>
        <v>3493.7269999999994</v>
      </c>
      <c r="F39" s="15">
        <f t="shared" si="13"/>
        <v>26.64</v>
      </c>
      <c r="G39" s="15">
        <f t="shared" si="13"/>
        <v>26.68</v>
      </c>
      <c r="H39" s="15">
        <f t="shared" si="13"/>
        <v>71182.616999999998</v>
      </c>
      <c r="I39" s="15">
        <f>'June 2023'!N39</f>
        <v>1039.2649999999999</v>
      </c>
      <c r="J39" s="15">
        <f t="shared" si="13"/>
        <v>5.7</v>
      </c>
      <c r="K39" s="15">
        <f t="shared" si="13"/>
        <v>33.760000000000005</v>
      </c>
      <c r="L39" s="15">
        <f t="shared" si="13"/>
        <v>0</v>
      </c>
      <c r="M39" s="15">
        <f t="shared" si="13"/>
        <v>0</v>
      </c>
      <c r="N39" s="15">
        <f t="shared" si="13"/>
        <v>1044.9649999999999</v>
      </c>
      <c r="O39" s="41">
        <f>'June 2023'!T39</f>
        <v>1869.9459999999999</v>
      </c>
      <c r="P39" s="15">
        <f t="shared" si="13"/>
        <v>86.17</v>
      </c>
      <c r="Q39" s="15">
        <f t="shared" si="13"/>
        <v>269.06600000000003</v>
      </c>
      <c r="R39" s="15">
        <f t="shared" si="13"/>
        <v>17.010000000000002</v>
      </c>
      <c r="S39" s="15">
        <f t="shared" si="13"/>
        <v>17.010000000000002</v>
      </c>
      <c r="T39" s="15">
        <f t="shared" si="13"/>
        <v>1939.106</v>
      </c>
      <c r="U39" s="15">
        <f t="shared" si="13"/>
        <v>74166.687999999995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'June 2023'!H40</f>
        <v>13946.088000000003</v>
      </c>
      <c r="D40" s="9">
        <v>6.46</v>
      </c>
      <c r="E40" s="9">
        <f>'June 2023'!E40+'JULY 2023'!D40</f>
        <v>43.300000000000004</v>
      </c>
      <c r="F40" s="9">
        <v>0</v>
      </c>
      <c r="G40" s="9">
        <f>'June 2023'!G40+'JULY 2023'!F40</f>
        <v>0</v>
      </c>
      <c r="H40" s="9">
        <f t="shared" si="0"/>
        <v>13952.548000000003</v>
      </c>
      <c r="I40" s="9">
        <f>'June 2023'!N40</f>
        <v>226.8</v>
      </c>
      <c r="J40" s="9">
        <v>0</v>
      </c>
      <c r="K40" s="9">
        <f>'June 2023'!K40+'JULY 2023'!J40</f>
        <v>0</v>
      </c>
      <c r="L40" s="9">
        <v>0</v>
      </c>
      <c r="M40" s="9">
        <f>'June 2023'!M40+'JULY 2023'!L40</f>
        <v>0</v>
      </c>
      <c r="N40" s="9">
        <f t="shared" si="1"/>
        <v>226.8</v>
      </c>
      <c r="O40" s="10">
        <f>'June 2023'!T40</f>
        <v>75.02000000000001</v>
      </c>
      <c r="P40" s="9">
        <v>0</v>
      </c>
      <c r="Q40" s="9">
        <f>'June 2023'!Q40+'JULY 2023'!P40</f>
        <v>0</v>
      </c>
      <c r="R40" s="9">
        <v>0</v>
      </c>
      <c r="S40" s="9">
        <f>'June 2023'!S40+'JULY 2023'!R40</f>
        <v>0</v>
      </c>
      <c r="T40" s="10">
        <f t="shared" si="2"/>
        <v>75.02000000000001</v>
      </c>
      <c r="U40" s="10">
        <f t="shared" si="3"/>
        <v>14254.368000000002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'June 2023'!H41</f>
        <v>10698.455999999995</v>
      </c>
      <c r="D41" s="9">
        <v>3.27</v>
      </c>
      <c r="E41" s="9">
        <f>'June 2023'!E41+'JULY 2023'!D41</f>
        <v>9.49</v>
      </c>
      <c r="F41" s="9">
        <v>0</v>
      </c>
      <c r="G41" s="9">
        <f>'June 2023'!G41+'JULY 2023'!F41</f>
        <v>0</v>
      </c>
      <c r="H41" s="9">
        <f t="shared" si="0"/>
        <v>10701.725999999995</v>
      </c>
      <c r="I41" s="9">
        <f>'June 2023'!N41</f>
        <v>0</v>
      </c>
      <c r="J41" s="9">
        <v>0</v>
      </c>
      <c r="K41" s="9">
        <f>'June 2023'!K41+'JULY 2023'!J41</f>
        <v>0</v>
      </c>
      <c r="L41" s="9">
        <v>0</v>
      </c>
      <c r="M41" s="9">
        <f>'June 2023'!M41+'JULY 2023'!L41</f>
        <v>0</v>
      </c>
      <c r="N41" s="9">
        <f t="shared" si="1"/>
        <v>0</v>
      </c>
      <c r="O41" s="10">
        <f>'June 2023'!T41</f>
        <v>89.580000000000013</v>
      </c>
      <c r="P41" s="9">
        <v>0</v>
      </c>
      <c r="Q41" s="9">
        <f>'June 2023'!Q41+'JULY 2023'!P41</f>
        <v>0</v>
      </c>
      <c r="R41" s="9">
        <v>0</v>
      </c>
      <c r="S41" s="9">
        <f>'June 2023'!S41+'JULY 2023'!R41</f>
        <v>0</v>
      </c>
      <c r="T41" s="10">
        <f t="shared" si="2"/>
        <v>89.580000000000013</v>
      </c>
      <c r="U41" s="10">
        <f t="shared" si="3"/>
        <v>10791.305999999995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'June 2023'!H42</f>
        <v>24414.634000000005</v>
      </c>
      <c r="D42" s="9">
        <f>12.49+96.87</f>
        <v>109.36</v>
      </c>
      <c r="E42" s="9">
        <f>'June 2023'!E42+'JULY 2023'!D42</f>
        <v>443.76000000000005</v>
      </c>
      <c r="F42" s="9">
        <v>0</v>
      </c>
      <c r="G42" s="9">
        <f>'June 2023'!G42+'JULY 2023'!F42</f>
        <v>0</v>
      </c>
      <c r="H42" s="9">
        <f t="shared" si="0"/>
        <v>24523.994000000006</v>
      </c>
      <c r="I42" s="9">
        <f>'June 2023'!N42</f>
        <v>0</v>
      </c>
      <c r="J42" s="9">
        <v>0</v>
      </c>
      <c r="K42" s="9">
        <f>'June 2023'!K42+'JULY 2023'!J42</f>
        <v>0</v>
      </c>
      <c r="L42" s="9">
        <v>0</v>
      </c>
      <c r="M42" s="9">
        <f>'June 2023'!M42+'JULY 2023'!L42</f>
        <v>0</v>
      </c>
      <c r="N42" s="9">
        <f t="shared" si="1"/>
        <v>0</v>
      </c>
      <c r="O42" s="10">
        <f>'June 2023'!T42</f>
        <v>38.47</v>
      </c>
      <c r="P42" s="9">
        <v>0</v>
      </c>
      <c r="Q42" s="9">
        <f>'June 2023'!Q42+'JULY 2023'!P42</f>
        <v>0</v>
      </c>
      <c r="R42" s="9">
        <v>0</v>
      </c>
      <c r="S42" s="9">
        <f>'June 2023'!S42+'JULY 2023'!R42</f>
        <v>0</v>
      </c>
      <c r="T42" s="10">
        <f t="shared" si="2"/>
        <v>38.47</v>
      </c>
      <c r="U42" s="10">
        <f t="shared" si="3"/>
        <v>24562.464000000007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'June 2023'!H43</f>
        <v>2657.2330000000002</v>
      </c>
      <c r="D43" s="9">
        <f>0.39+90.67+55.71</f>
        <v>146.77000000000001</v>
      </c>
      <c r="E43" s="9">
        <f>'June 2023'!E43+'JULY 2023'!D43</f>
        <v>324</v>
      </c>
      <c r="F43" s="9">
        <v>0</v>
      </c>
      <c r="G43" s="9">
        <f>'June 2023'!G43+'JULY 2023'!F43</f>
        <v>0</v>
      </c>
      <c r="H43" s="9">
        <f t="shared" si="0"/>
        <v>2804.0030000000002</v>
      </c>
      <c r="I43" s="9">
        <f>'June 2023'!N43</f>
        <v>0</v>
      </c>
      <c r="J43" s="9">
        <v>0</v>
      </c>
      <c r="K43" s="9">
        <f>'June 2023'!K43+'JULY 2023'!J43</f>
        <v>0</v>
      </c>
      <c r="L43" s="9">
        <v>0</v>
      </c>
      <c r="M43" s="9">
        <f>'June 2023'!M43+'JULY 2023'!L43</f>
        <v>0</v>
      </c>
      <c r="N43" s="9">
        <f t="shared" si="1"/>
        <v>0</v>
      </c>
      <c r="O43" s="10">
        <f>'June 2023'!T43</f>
        <v>146.49</v>
      </c>
      <c r="P43" s="9">
        <v>0</v>
      </c>
      <c r="Q43" s="9">
        <f>'June 2023'!Q43+'JULY 2023'!P43</f>
        <v>0</v>
      </c>
      <c r="R43" s="9">
        <v>0</v>
      </c>
      <c r="S43" s="9">
        <f>'June 2023'!S43+'JULY 2023'!R43</f>
        <v>0</v>
      </c>
      <c r="T43" s="10">
        <f t="shared" si="2"/>
        <v>146.49</v>
      </c>
      <c r="U43" s="10">
        <f t="shared" si="3"/>
        <v>2950.4930000000004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'June 2023'!H44</f>
        <v>51716.411</v>
      </c>
      <c r="D44" s="15">
        <f t="shared" ref="D44:U44" si="14">SUM(D40:D43)</f>
        <v>265.86</v>
      </c>
      <c r="E44" s="15">
        <f t="shared" si="14"/>
        <v>820.55000000000007</v>
      </c>
      <c r="F44" s="15">
        <f t="shared" si="14"/>
        <v>0</v>
      </c>
      <c r="G44" s="15">
        <f t="shared" si="14"/>
        <v>0</v>
      </c>
      <c r="H44" s="15">
        <f t="shared" si="14"/>
        <v>51982.271000000001</v>
      </c>
      <c r="I44" s="15">
        <f>'June 2023'!N44</f>
        <v>226.8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0</v>
      </c>
      <c r="N44" s="15">
        <f t="shared" si="14"/>
        <v>226.8</v>
      </c>
      <c r="O44" s="41">
        <f>'June 2023'!T44</f>
        <v>349.56000000000006</v>
      </c>
      <c r="P44" s="15">
        <f t="shared" si="14"/>
        <v>0</v>
      </c>
      <c r="Q44" s="15">
        <f t="shared" si="14"/>
        <v>0</v>
      </c>
      <c r="R44" s="15">
        <f t="shared" si="14"/>
        <v>0</v>
      </c>
      <c r="S44" s="15">
        <f t="shared" si="14"/>
        <v>0</v>
      </c>
      <c r="T44" s="15">
        <f t="shared" si="14"/>
        <v>349.56000000000006</v>
      </c>
      <c r="U44" s="15">
        <f t="shared" si="14"/>
        <v>52558.631000000008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'June 2023'!H45</f>
        <v>14144.775000000001</v>
      </c>
      <c r="D45" s="9">
        <v>7.8</v>
      </c>
      <c r="E45" s="9">
        <f>'June 2023'!E45+'JULY 2023'!D45</f>
        <v>26.91</v>
      </c>
      <c r="F45" s="9">
        <v>0</v>
      </c>
      <c r="G45" s="9">
        <f>'June 2023'!G45+'JULY 2023'!F45</f>
        <v>0</v>
      </c>
      <c r="H45" s="9">
        <f t="shared" si="0"/>
        <v>14152.575000000001</v>
      </c>
      <c r="I45" s="9">
        <f>'June 2023'!N45</f>
        <v>8.15</v>
      </c>
      <c r="J45" s="9">
        <v>0</v>
      </c>
      <c r="K45" s="9">
        <f>'June 2023'!K45+'JULY 2023'!J45</f>
        <v>1.48</v>
      </c>
      <c r="L45" s="9">
        <v>0</v>
      </c>
      <c r="M45" s="9">
        <f>'June 2023'!M45+'JULY 2023'!L45</f>
        <v>0</v>
      </c>
      <c r="N45" s="9">
        <f t="shared" si="1"/>
        <v>8.15</v>
      </c>
      <c r="O45" s="10">
        <f>'June 2023'!T45</f>
        <v>105.87000000000002</v>
      </c>
      <c r="P45" s="9">
        <v>0</v>
      </c>
      <c r="Q45" s="9">
        <f>'June 2023'!Q45+'JULY 2023'!P45</f>
        <v>0</v>
      </c>
      <c r="R45" s="9">
        <v>0</v>
      </c>
      <c r="S45" s="9">
        <f>'June 2023'!S45+'JULY 2023'!R45</f>
        <v>0</v>
      </c>
      <c r="T45" s="10">
        <f t="shared" si="2"/>
        <v>105.87000000000002</v>
      </c>
      <c r="U45" s="10">
        <f t="shared" si="3"/>
        <v>14266.595000000001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'June 2023'!H46</f>
        <v>7480.6749999999993</v>
      </c>
      <c r="D46" s="9">
        <v>17.86</v>
      </c>
      <c r="E46" s="9">
        <f>'June 2023'!E46+'JULY 2023'!D46</f>
        <v>85.48</v>
      </c>
      <c r="F46" s="9">
        <v>0</v>
      </c>
      <c r="G46" s="9">
        <f>'June 2023'!G46+'JULY 2023'!F46</f>
        <v>0</v>
      </c>
      <c r="H46" s="9">
        <f t="shared" si="0"/>
        <v>7498.5349999999989</v>
      </c>
      <c r="I46" s="9">
        <f>'June 2023'!N46</f>
        <v>0</v>
      </c>
      <c r="J46" s="9">
        <v>0</v>
      </c>
      <c r="K46" s="9">
        <f>'June 2023'!K46+'JULY 2023'!J46</f>
        <v>0</v>
      </c>
      <c r="L46" s="9">
        <v>0</v>
      </c>
      <c r="M46" s="9">
        <f>'June 2023'!M46+'JULY 2023'!L46</f>
        <v>0</v>
      </c>
      <c r="N46" s="9">
        <f t="shared" si="1"/>
        <v>0</v>
      </c>
      <c r="O46" s="10">
        <f>'June 2023'!T46</f>
        <v>7.5900000000000007</v>
      </c>
      <c r="P46" s="9">
        <v>0</v>
      </c>
      <c r="Q46" s="9">
        <f>'June 2023'!Q46+'JULY 2023'!P46</f>
        <v>0</v>
      </c>
      <c r="R46" s="9">
        <v>0</v>
      </c>
      <c r="S46" s="9">
        <f>'June 2023'!S46+'JULY 2023'!R46</f>
        <v>0</v>
      </c>
      <c r="T46" s="10">
        <f t="shared" si="2"/>
        <v>7.5900000000000007</v>
      </c>
      <c r="U46" s="10">
        <f t="shared" si="3"/>
        <v>7506.1249999999991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'June 2023'!H47</f>
        <v>12304.730000000007</v>
      </c>
      <c r="D47" s="9">
        <v>0.65</v>
      </c>
      <c r="E47" s="9">
        <f>'June 2023'!E47+'JULY 2023'!D47</f>
        <v>1.34</v>
      </c>
      <c r="F47" s="9">
        <v>0</v>
      </c>
      <c r="G47" s="9">
        <f>'June 2023'!G47+'JULY 2023'!F47</f>
        <v>0</v>
      </c>
      <c r="H47" s="9">
        <f t="shared" si="0"/>
        <v>12305.380000000006</v>
      </c>
      <c r="I47" s="9">
        <f>'June 2023'!N47</f>
        <v>1.2999999999999998</v>
      </c>
      <c r="J47" s="9">
        <v>0</v>
      </c>
      <c r="K47" s="9">
        <f>'June 2023'!K47+'JULY 2023'!J47</f>
        <v>0</v>
      </c>
      <c r="L47" s="9">
        <v>0</v>
      </c>
      <c r="M47" s="9">
        <f>'June 2023'!M47+'JULY 2023'!L47</f>
        <v>0</v>
      </c>
      <c r="N47" s="9">
        <f t="shared" si="1"/>
        <v>1.2999999999999998</v>
      </c>
      <c r="O47" s="10">
        <f>'June 2023'!T47</f>
        <v>86.18</v>
      </c>
      <c r="P47" s="9">
        <v>0</v>
      </c>
      <c r="Q47" s="9">
        <f>'June 2023'!Q47+'JULY 2023'!P47</f>
        <v>0</v>
      </c>
      <c r="R47" s="9">
        <v>0</v>
      </c>
      <c r="S47" s="9">
        <f>'June 2023'!S47+'JULY 2023'!R47</f>
        <v>0</v>
      </c>
      <c r="T47" s="10">
        <f t="shared" si="2"/>
        <v>86.18</v>
      </c>
      <c r="U47" s="10">
        <f t="shared" si="3"/>
        <v>12392.860000000006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'June 2023'!H48</f>
        <v>11111.352000000008</v>
      </c>
      <c r="D48" s="9">
        <v>0.9</v>
      </c>
      <c r="E48" s="9">
        <f>'June 2023'!E48+'JULY 2023'!D48</f>
        <v>5.04</v>
      </c>
      <c r="F48" s="9">
        <v>0</v>
      </c>
      <c r="G48" s="9">
        <f>'June 2023'!G48+'JULY 2023'!F48</f>
        <v>0</v>
      </c>
      <c r="H48" s="9">
        <f t="shared" si="0"/>
        <v>11112.252000000008</v>
      </c>
      <c r="I48" s="9">
        <f>'June 2023'!N48</f>
        <v>0</v>
      </c>
      <c r="J48" s="9">
        <v>0</v>
      </c>
      <c r="K48" s="9">
        <f>'June 2023'!K48+'JULY 2023'!J48</f>
        <v>0</v>
      </c>
      <c r="L48" s="9">
        <v>0</v>
      </c>
      <c r="M48" s="9">
        <f>'June 2023'!M48+'JULY 2023'!L48</f>
        <v>0</v>
      </c>
      <c r="N48" s="9">
        <f t="shared" si="1"/>
        <v>0</v>
      </c>
      <c r="O48" s="10">
        <f>'June 2023'!T48</f>
        <v>30.53</v>
      </c>
      <c r="P48" s="9">
        <v>0</v>
      </c>
      <c r="Q48" s="9">
        <f>'June 2023'!Q48+'JULY 2023'!P48</f>
        <v>0</v>
      </c>
      <c r="R48" s="9">
        <v>0</v>
      </c>
      <c r="S48" s="9">
        <f>'June 2023'!S48+'JULY 2023'!R48</f>
        <v>0</v>
      </c>
      <c r="T48" s="10">
        <f t="shared" si="2"/>
        <v>30.53</v>
      </c>
      <c r="U48" s="10">
        <f t="shared" si="3"/>
        <v>11142.782000000008</v>
      </c>
      <c r="V48" s="75"/>
      <c r="W48" s="11"/>
    </row>
    <row r="49" spans="1:23" s="16" customFormat="1" ht="42.75" customHeight="1">
      <c r="A49" s="13"/>
      <c r="B49" s="14" t="s">
        <v>57</v>
      </c>
      <c r="C49" s="15">
        <f>'June 2023'!H49</f>
        <v>45041.532000000014</v>
      </c>
      <c r="D49" s="15">
        <f t="shared" ref="D49:U49" si="15">SUM(D45:D48)</f>
        <v>27.209999999999997</v>
      </c>
      <c r="E49" s="15">
        <f t="shared" si="15"/>
        <v>118.77000000000001</v>
      </c>
      <c r="F49" s="15">
        <f t="shared" si="15"/>
        <v>0</v>
      </c>
      <c r="G49" s="15">
        <f t="shared" si="15"/>
        <v>0</v>
      </c>
      <c r="H49" s="15">
        <f t="shared" si="15"/>
        <v>45068.742000000013</v>
      </c>
      <c r="I49" s="15">
        <f>'June 2023'!N49</f>
        <v>9.4499999999999993</v>
      </c>
      <c r="J49" s="15">
        <f t="shared" si="15"/>
        <v>0</v>
      </c>
      <c r="K49" s="15">
        <f t="shared" si="15"/>
        <v>1.48</v>
      </c>
      <c r="L49" s="15">
        <f t="shared" si="15"/>
        <v>0</v>
      </c>
      <c r="M49" s="15">
        <f t="shared" si="15"/>
        <v>0</v>
      </c>
      <c r="N49" s="15">
        <f t="shared" si="15"/>
        <v>9.4499999999999993</v>
      </c>
      <c r="O49" s="41">
        <f>'June 2023'!T49</f>
        <v>230.17000000000004</v>
      </c>
      <c r="P49" s="15">
        <f t="shared" si="15"/>
        <v>0</v>
      </c>
      <c r="Q49" s="15">
        <f t="shared" si="15"/>
        <v>0</v>
      </c>
      <c r="R49" s="15">
        <f t="shared" si="15"/>
        <v>0</v>
      </c>
      <c r="S49" s="15">
        <f t="shared" si="15"/>
        <v>0</v>
      </c>
      <c r="T49" s="15">
        <f t="shared" si="15"/>
        <v>230.17000000000004</v>
      </c>
      <c r="U49" s="15">
        <f t="shared" si="15"/>
        <v>45308.362000000016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'June 2023'!H50</f>
        <v>96757.943000000014</v>
      </c>
      <c r="D50" s="15">
        <f t="shared" ref="D50:U50" si="16">D49+D44</f>
        <v>293.07</v>
      </c>
      <c r="E50" s="15">
        <f t="shared" si="16"/>
        <v>939.32</v>
      </c>
      <c r="F50" s="15">
        <f t="shared" si="16"/>
        <v>0</v>
      </c>
      <c r="G50" s="15">
        <f t="shared" si="16"/>
        <v>0</v>
      </c>
      <c r="H50" s="15">
        <f t="shared" si="16"/>
        <v>97051.013000000006</v>
      </c>
      <c r="I50" s="15">
        <f>'June 2023'!N50</f>
        <v>236.25</v>
      </c>
      <c r="J50" s="15">
        <f t="shared" si="16"/>
        <v>0</v>
      </c>
      <c r="K50" s="15">
        <f t="shared" si="16"/>
        <v>1.48</v>
      </c>
      <c r="L50" s="15">
        <f t="shared" si="16"/>
        <v>0</v>
      </c>
      <c r="M50" s="15">
        <f t="shared" si="16"/>
        <v>0</v>
      </c>
      <c r="N50" s="15">
        <f t="shared" si="16"/>
        <v>236.25</v>
      </c>
      <c r="O50" s="41">
        <f>'June 2023'!T50</f>
        <v>579.73000000000013</v>
      </c>
      <c r="P50" s="15">
        <f t="shared" si="16"/>
        <v>0</v>
      </c>
      <c r="Q50" s="15">
        <f t="shared" si="16"/>
        <v>0</v>
      </c>
      <c r="R50" s="15">
        <f t="shared" si="16"/>
        <v>0</v>
      </c>
      <c r="S50" s="15">
        <f t="shared" si="16"/>
        <v>0</v>
      </c>
      <c r="T50" s="15">
        <f t="shared" si="16"/>
        <v>579.73000000000013</v>
      </c>
      <c r="U50" s="15">
        <f t="shared" si="16"/>
        <v>97866.993000000017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'June 2023'!H51</f>
        <v>175981.258</v>
      </c>
      <c r="D51" s="15">
        <f t="shared" ref="D51:U51" si="17">D50+D39+D25</f>
        <v>1212.2749999999999</v>
      </c>
      <c r="E51" s="15">
        <f t="shared" si="17"/>
        <v>4454.4869999999992</v>
      </c>
      <c r="F51" s="15">
        <f t="shared" si="17"/>
        <v>117.31</v>
      </c>
      <c r="G51" s="15">
        <f t="shared" si="17"/>
        <v>120.55000000000001</v>
      </c>
      <c r="H51" s="37">
        <f t="shared" si="17"/>
        <v>177076.223</v>
      </c>
      <c r="I51" s="15">
        <f>'June 2023'!N51</f>
        <v>2910.9030000000002</v>
      </c>
      <c r="J51" s="15">
        <f t="shared" si="17"/>
        <v>15.805</v>
      </c>
      <c r="K51" s="15">
        <f t="shared" si="17"/>
        <v>110.68899999999999</v>
      </c>
      <c r="L51" s="15">
        <f t="shared" si="17"/>
        <v>0</v>
      </c>
      <c r="M51" s="15">
        <f t="shared" si="17"/>
        <v>0.12</v>
      </c>
      <c r="N51" s="37">
        <f t="shared" si="17"/>
        <v>2926.7080000000005</v>
      </c>
      <c r="O51" s="41">
        <f>'June 2023'!T51</f>
        <v>9871.2799999999988</v>
      </c>
      <c r="P51" s="15">
        <f t="shared" si="17"/>
        <v>148.11000000000001</v>
      </c>
      <c r="Q51" s="15">
        <f t="shared" si="17"/>
        <v>720.65599999999995</v>
      </c>
      <c r="R51" s="15">
        <f t="shared" si="17"/>
        <v>19.490000000000002</v>
      </c>
      <c r="S51" s="15">
        <f t="shared" si="17"/>
        <v>38.730000000000004</v>
      </c>
      <c r="T51" s="37">
        <f t="shared" si="17"/>
        <v>9999.9</v>
      </c>
      <c r="U51" s="15">
        <f t="shared" si="17"/>
        <v>190002.83100000001</v>
      </c>
      <c r="V51" s="40"/>
      <c r="W51" s="40"/>
    </row>
    <row r="52" spans="1:23" s="21" customFormat="1" ht="42.75" hidden="1" customHeight="1">
      <c r="A52" s="18"/>
      <c r="B52" s="19"/>
      <c r="C52" s="9">
        <f>'[2]Feb 2023'!H52</f>
        <v>0</v>
      </c>
      <c r="D52" s="20"/>
      <c r="E52" s="9">
        <f t="shared" ref="E52:E53" si="18">D52</f>
        <v>0</v>
      </c>
      <c r="F52" s="20"/>
      <c r="G52" s="9">
        <f>'May 2023'!G52+'JULY 2023'!F52</f>
        <v>0</v>
      </c>
      <c r="H52" s="9">
        <f t="shared" si="0"/>
        <v>0</v>
      </c>
      <c r="I52" s="9">
        <f>'April 2023'!N52</f>
        <v>0</v>
      </c>
      <c r="J52" s="20"/>
      <c r="K52" s="9">
        <f>'May 2023'!K52+'JULY 2023'!J52</f>
        <v>0</v>
      </c>
      <c r="L52" s="20"/>
      <c r="M52" s="9"/>
      <c r="N52" s="20"/>
      <c r="O52" s="10">
        <f>'June 2023'!T52</f>
        <v>0</v>
      </c>
      <c r="P52" s="20"/>
      <c r="Q52" s="9">
        <f>'May 2023'!Q52+'JULY 2023'!P52</f>
        <v>0</v>
      </c>
      <c r="R52" s="20"/>
      <c r="S52" s="9">
        <f t="shared" ref="S52:S53" si="19">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'[2]Feb 2023'!H53</f>
        <v>0</v>
      </c>
      <c r="D53" s="20"/>
      <c r="E53" s="9">
        <f t="shared" si="18"/>
        <v>0</v>
      </c>
      <c r="F53" s="20"/>
      <c r="G53" s="9">
        <f>'May 2023'!G53+'JULY 2023'!F53</f>
        <v>0</v>
      </c>
      <c r="H53" s="9">
        <f t="shared" si="0"/>
        <v>0</v>
      </c>
      <c r="I53" s="9">
        <f>'April 2023'!N53</f>
        <v>0</v>
      </c>
      <c r="J53" s="20"/>
      <c r="K53" s="9">
        <f>'May 2023'!K53+'JULY 2023'!J53</f>
        <v>0</v>
      </c>
      <c r="L53" s="20"/>
      <c r="M53" s="9"/>
      <c r="N53" s="20"/>
      <c r="O53" s="10">
        <f>'June 2023'!T53</f>
        <v>0</v>
      </c>
      <c r="P53" s="22"/>
      <c r="Q53" s="9">
        <f>'May 2023'!Q53+'JULY 2023'!P53</f>
        <v>0</v>
      </c>
      <c r="R53" s="20"/>
      <c r="S53" s="9">
        <f t="shared" si="19"/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9"/>
      <c r="L54" s="20"/>
      <c r="M54" s="22"/>
      <c r="N54" s="20"/>
      <c r="O54" s="20"/>
      <c r="P54" s="22"/>
      <c r="Q54" s="24"/>
      <c r="R54" s="20"/>
      <c r="S54" s="22"/>
      <c r="T54" s="23"/>
      <c r="U54" s="20"/>
      <c r="V54" s="20"/>
      <c r="W54" s="20"/>
    </row>
    <row r="55" spans="1:23" s="43" customFormat="1" ht="30">
      <c r="A55" s="76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1239.3900000000001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5126.4319999999998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190002.83100000001</v>
      </c>
      <c r="I58" s="30"/>
      <c r="J58" s="30"/>
      <c r="K58" s="30"/>
      <c r="L58" s="31"/>
      <c r="M58" s="31"/>
      <c r="N58" s="32" t="e">
        <f>#REF!+'JULY 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#REF!+'JULY 2023'!H56</f>
        <v>#REF!</v>
      </c>
      <c r="K59" s="30"/>
      <c r="L59" s="35" t="e">
        <f>#REF!+'JULY 2023'!H56</f>
        <v>#REF!</v>
      </c>
      <c r="M59" s="30"/>
      <c r="O59" s="11"/>
    </row>
    <row r="60" spans="1:23">
      <c r="B60" s="2"/>
      <c r="G60" s="36"/>
      <c r="O60" s="2"/>
      <c r="U60" s="2"/>
      <c r="V60" s="2"/>
      <c r="W60" s="2"/>
    </row>
  </sheetData>
  <mergeCells count="26">
    <mergeCell ref="D57:G57"/>
    <mergeCell ref="D58:G58"/>
    <mergeCell ref="V26:V27"/>
    <mergeCell ref="V45:V48"/>
    <mergeCell ref="A55:K55"/>
    <mergeCell ref="I5:I6"/>
    <mergeCell ref="J5:K5"/>
    <mergeCell ref="L5:M5"/>
    <mergeCell ref="N5:N6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O5:O6"/>
    <mergeCell ref="P5:Q5"/>
    <mergeCell ref="R5:S5"/>
    <mergeCell ref="T5:T6"/>
    <mergeCell ref="U5:U6"/>
    <mergeCell ref="H5:H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0"/>
  <sheetViews>
    <sheetView topLeftCell="A43" zoomScale="38" zoomScaleNormal="38" zoomScaleSheetLayoutView="25" workbookViewId="0">
      <selection activeCell="A55" sqref="A55:XFD55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'JULY 2023'!H7</f>
        <v>83.970000000000653</v>
      </c>
      <c r="D7" s="9">
        <v>0</v>
      </c>
      <c r="E7" s="9">
        <f>'JULY 2023'!E7+'August 2023'!D7</f>
        <v>0</v>
      </c>
      <c r="F7" s="9">
        <v>0</v>
      </c>
      <c r="G7" s="9">
        <f>'JULY 2023'!G7+'August 2023'!F7</f>
        <v>0</v>
      </c>
      <c r="H7" s="9">
        <f>C7+D7-F7</f>
        <v>83.970000000000653</v>
      </c>
      <c r="I7" s="9">
        <f>'JULY 2023'!N7</f>
        <v>207.83599999999996</v>
      </c>
      <c r="J7" s="9">
        <v>0.99</v>
      </c>
      <c r="K7" s="9">
        <f>'JULY 2023'!K7+'August 2023'!J7</f>
        <v>33.955000000000005</v>
      </c>
      <c r="L7" s="9">
        <v>0</v>
      </c>
      <c r="M7" s="9">
        <f>'JULY 2023'!M7+'August 2023'!L7</f>
        <v>0</v>
      </c>
      <c r="N7" s="9">
        <f>I7+J7-L7</f>
        <v>208.82599999999996</v>
      </c>
      <c r="O7" s="10">
        <f>'JULY 2023'!T7</f>
        <v>264.90000000000009</v>
      </c>
      <c r="P7" s="9">
        <v>0</v>
      </c>
      <c r="Q7" s="9">
        <f>'JULY 2023'!Q7+'August 2023'!P7</f>
        <v>0</v>
      </c>
      <c r="R7" s="9">
        <v>0</v>
      </c>
      <c r="S7" s="9">
        <f>'JULY 2023'!S7+'August 2023'!R7</f>
        <v>19.239999999999998</v>
      </c>
      <c r="T7" s="10">
        <f>O7+P7-R7</f>
        <v>264.90000000000009</v>
      </c>
      <c r="U7" s="10">
        <f>H7+N7+T7</f>
        <v>557.69600000000071</v>
      </c>
      <c r="V7" s="11"/>
      <c r="W7" s="11"/>
    </row>
    <row r="8" spans="1:183" ht="42.75" customHeight="1">
      <c r="A8" s="7">
        <v>2</v>
      </c>
      <c r="B8" s="8" t="s">
        <v>15</v>
      </c>
      <c r="C8" s="9">
        <f>'JULY 2023'!H8</f>
        <v>498.45499999999981</v>
      </c>
      <c r="D8" s="9">
        <v>0.36</v>
      </c>
      <c r="E8" s="9">
        <f>'JULY 2023'!E8+'August 2023'!D8</f>
        <v>1.2000000000000002</v>
      </c>
      <c r="F8" s="9">
        <v>0</v>
      </c>
      <c r="G8" s="9">
        <f>'JULY 2023'!G8+'August 2023'!F8</f>
        <v>0</v>
      </c>
      <c r="H8" s="9">
        <f t="shared" ref="H8:H53" si="0">C8+D8-F8</f>
        <v>498.81499999999983</v>
      </c>
      <c r="I8" s="9">
        <f>'JULY 2023'!N8</f>
        <v>151.126</v>
      </c>
      <c r="J8" s="9">
        <v>1.42</v>
      </c>
      <c r="K8" s="9">
        <f>'JULY 2023'!K8+'August 2023'!J8</f>
        <v>9.6399999999999988</v>
      </c>
      <c r="L8" s="9">
        <v>0</v>
      </c>
      <c r="M8" s="9">
        <f>'JULY 2023'!M8+'August 2023'!L8</f>
        <v>0</v>
      </c>
      <c r="N8" s="9">
        <f t="shared" ref="N8:N48" si="1">I8+J8-L8</f>
        <v>152.54599999999999</v>
      </c>
      <c r="O8" s="10">
        <f>'JULY 2023'!T8</f>
        <v>222.27000000000004</v>
      </c>
      <c r="P8" s="9">
        <v>0</v>
      </c>
      <c r="Q8" s="9">
        <f>'JULY 2023'!Q8+'August 2023'!P8</f>
        <v>0</v>
      </c>
      <c r="R8" s="9">
        <v>0</v>
      </c>
      <c r="S8" s="9">
        <f>'JULY 2023'!S8+'August 2023'!R8</f>
        <v>0</v>
      </c>
      <c r="T8" s="10">
        <f t="shared" ref="T8:T48" si="2">O8+P8-R8</f>
        <v>222.27000000000004</v>
      </c>
      <c r="U8" s="10">
        <f t="shared" ref="U8:U48" si="3">H8+N8+T8</f>
        <v>873.63099999999986</v>
      </c>
      <c r="V8" s="11"/>
      <c r="W8" s="11"/>
    </row>
    <row r="9" spans="1:183" ht="42.75" customHeight="1">
      <c r="A9" s="7">
        <v>3</v>
      </c>
      <c r="B9" s="8" t="s">
        <v>16</v>
      </c>
      <c r="C9" s="9">
        <f>'JULY 2023'!H9</f>
        <v>653.9599999999997</v>
      </c>
      <c r="D9" s="9">
        <v>0</v>
      </c>
      <c r="E9" s="9">
        <f>'JULY 2023'!E9+'August 2023'!D9</f>
        <v>0</v>
      </c>
      <c r="F9" s="9">
        <v>0</v>
      </c>
      <c r="G9" s="9">
        <f>'JULY 2023'!G9+'August 2023'!F9</f>
        <v>0</v>
      </c>
      <c r="H9" s="9">
        <f t="shared" si="0"/>
        <v>653.9599999999997</v>
      </c>
      <c r="I9" s="9">
        <f>'JULY 2023'!N9</f>
        <v>230.08</v>
      </c>
      <c r="J9" s="9">
        <v>1.405</v>
      </c>
      <c r="K9" s="9">
        <f>'JULY 2023'!K9+'August 2023'!J9</f>
        <v>15.978999999999999</v>
      </c>
      <c r="L9" s="9">
        <v>0</v>
      </c>
      <c r="M9" s="9">
        <f>'JULY 2023'!M9+'August 2023'!L9</f>
        <v>0</v>
      </c>
      <c r="N9" s="9">
        <f t="shared" si="1"/>
        <v>231.48500000000001</v>
      </c>
      <c r="O9" s="10">
        <f>'JULY 2023'!T9</f>
        <v>529.12999999999988</v>
      </c>
      <c r="P9" s="9">
        <v>37.799999999999997</v>
      </c>
      <c r="Q9" s="9">
        <f>'JULY 2023'!Q9+'August 2023'!P9</f>
        <v>300.33999999999997</v>
      </c>
      <c r="R9" s="9">
        <v>0</v>
      </c>
      <c r="S9" s="9">
        <f>'JULY 2023'!S9+'August 2023'!R9</f>
        <v>0</v>
      </c>
      <c r="T9" s="10">
        <f t="shared" si="2"/>
        <v>566.92999999999984</v>
      </c>
      <c r="U9" s="10">
        <f t="shared" si="3"/>
        <v>1452.3749999999995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'JULY 2023'!H10</f>
        <v>0</v>
      </c>
      <c r="D10" s="9">
        <v>0</v>
      </c>
      <c r="E10" s="9">
        <f>'JULY 2023'!E10+'August 2023'!D10</f>
        <v>0</v>
      </c>
      <c r="F10" s="9">
        <v>0</v>
      </c>
      <c r="G10" s="9">
        <f>'JULY 2023'!G10+'August 2023'!F10</f>
        <v>0</v>
      </c>
      <c r="H10" s="9">
        <f t="shared" si="0"/>
        <v>0</v>
      </c>
      <c r="I10" s="9">
        <f>'JULY 2023'!N10</f>
        <v>147.59500000000008</v>
      </c>
      <c r="J10" s="9">
        <v>0.152</v>
      </c>
      <c r="K10" s="9">
        <f>'JULY 2023'!K10+'August 2023'!J10</f>
        <v>0.52200000000000002</v>
      </c>
      <c r="L10" s="9">
        <v>0</v>
      </c>
      <c r="M10" s="9">
        <f>'JULY 2023'!M10+'August 2023'!L10</f>
        <v>0</v>
      </c>
      <c r="N10" s="9">
        <f t="shared" si="1"/>
        <v>147.74700000000007</v>
      </c>
      <c r="O10" s="10">
        <f>'JULY 2023'!T10</f>
        <v>234.27999999999997</v>
      </c>
      <c r="P10" s="9">
        <v>0</v>
      </c>
      <c r="Q10" s="9">
        <f>'JULY 2023'!Q10+'August 2023'!P10</f>
        <v>0</v>
      </c>
      <c r="R10" s="9">
        <v>0</v>
      </c>
      <c r="S10" s="9">
        <f>'JULY 2023'!S10+'August 2023'!R10</f>
        <v>0</v>
      </c>
      <c r="T10" s="10">
        <f t="shared" si="2"/>
        <v>234.27999999999997</v>
      </c>
      <c r="U10" s="10">
        <f t="shared" si="3"/>
        <v>382.02700000000004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'JULY 2023'!H11</f>
        <v>1236.3850000000002</v>
      </c>
      <c r="D11" s="15">
        <f t="shared" ref="D11:U11" si="4">SUM(D7:D10)</f>
        <v>0.36</v>
      </c>
      <c r="E11" s="15">
        <f t="shared" si="4"/>
        <v>1.2000000000000002</v>
      </c>
      <c r="F11" s="15">
        <f t="shared" si="4"/>
        <v>0</v>
      </c>
      <c r="G11" s="15">
        <f t="shared" si="4"/>
        <v>0</v>
      </c>
      <c r="H11" s="15">
        <f t="shared" si="4"/>
        <v>1236.7450000000003</v>
      </c>
      <c r="I11" s="15">
        <f>'JULY 2023'!N11</f>
        <v>736.63700000000017</v>
      </c>
      <c r="J11" s="15">
        <f t="shared" si="4"/>
        <v>3.9670000000000005</v>
      </c>
      <c r="K11" s="15">
        <f t="shared" si="4"/>
        <v>60.096000000000004</v>
      </c>
      <c r="L11" s="15">
        <f t="shared" si="4"/>
        <v>0</v>
      </c>
      <c r="M11" s="15">
        <f t="shared" si="4"/>
        <v>0</v>
      </c>
      <c r="N11" s="15">
        <f t="shared" si="4"/>
        <v>740.60400000000004</v>
      </c>
      <c r="O11" s="41">
        <f>'JULY 2023'!T11</f>
        <v>1250.58</v>
      </c>
      <c r="P11" s="15">
        <f t="shared" si="4"/>
        <v>37.799999999999997</v>
      </c>
      <c r="Q11" s="15">
        <f t="shared" si="4"/>
        <v>300.33999999999997</v>
      </c>
      <c r="R11" s="15">
        <f t="shared" si="4"/>
        <v>0</v>
      </c>
      <c r="S11" s="15">
        <f t="shared" si="4"/>
        <v>19.239999999999998</v>
      </c>
      <c r="T11" s="15">
        <f t="shared" si="4"/>
        <v>1288.3799999999999</v>
      </c>
      <c r="U11" s="15">
        <f t="shared" si="4"/>
        <v>3265.7290000000003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'JULY 2023'!H12</f>
        <v>218.88999999999885</v>
      </c>
      <c r="D12" s="9">
        <v>0</v>
      </c>
      <c r="E12" s="9">
        <f>'JULY 2023'!E12+'August 2023'!D12</f>
        <v>0</v>
      </c>
      <c r="F12" s="9">
        <v>0</v>
      </c>
      <c r="G12" s="9">
        <f>'JULY 2023'!G12+'August 2023'!F12</f>
        <v>0</v>
      </c>
      <c r="H12" s="9">
        <f t="shared" si="0"/>
        <v>218.88999999999885</v>
      </c>
      <c r="I12" s="9">
        <f>'JULY 2023'!N12</f>
        <v>92.12299999999999</v>
      </c>
      <c r="J12" s="9">
        <v>0.36</v>
      </c>
      <c r="K12" s="9">
        <f>'JULY 2023'!K12+'August 2023'!J12</f>
        <v>2.6</v>
      </c>
      <c r="L12" s="9">
        <v>0</v>
      </c>
      <c r="M12" s="9">
        <f>'JULY 2023'!M12+'August 2023'!L12</f>
        <v>0</v>
      </c>
      <c r="N12" s="9">
        <f t="shared" si="1"/>
        <v>92.48299999999999</v>
      </c>
      <c r="O12" s="10">
        <f>'JULY 2023'!T12</f>
        <v>1548.3899999999999</v>
      </c>
      <c r="P12" s="9">
        <v>0</v>
      </c>
      <c r="Q12" s="9">
        <f>'JULY 2023'!Q12+'August 2023'!P12</f>
        <v>0.37</v>
      </c>
      <c r="R12" s="9">
        <v>0</v>
      </c>
      <c r="S12" s="9">
        <f>'JULY 2023'!S12+'August 2023'!R12</f>
        <v>0</v>
      </c>
      <c r="T12" s="10">
        <f t="shared" si="2"/>
        <v>1548.3899999999999</v>
      </c>
      <c r="U12" s="10">
        <f t="shared" si="3"/>
        <v>1859.7629999999988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'JULY 2023'!H13</f>
        <v>1023.7699999999998</v>
      </c>
      <c r="D13" s="9">
        <v>0</v>
      </c>
      <c r="E13" s="9">
        <f>'JULY 2023'!E13+'August 2023'!D13</f>
        <v>0</v>
      </c>
      <c r="F13" s="9">
        <v>0</v>
      </c>
      <c r="G13" s="9">
        <f>'JULY 2023'!G13+'August 2023'!F13</f>
        <v>0</v>
      </c>
      <c r="H13" s="9">
        <f t="shared" si="0"/>
        <v>1023.7699999999998</v>
      </c>
      <c r="I13" s="9">
        <f>'JULY 2023'!N13</f>
        <v>161.04400000000007</v>
      </c>
      <c r="J13" s="9">
        <v>0.93</v>
      </c>
      <c r="K13" s="9">
        <f>'JULY 2023'!K13+'August 2023'!J13</f>
        <v>4.3099999999999996</v>
      </c>
      <c r="L13" s="9">
        <v>0</v>
      </c>
      <c r="M13" s="9">
        <f>'JULY 2023'!M13+'August 2023'!L13</f>
        <v>0</v>
      </c>
      <c r="N13" s="9">
        <f t="shared" si="1"/>
        <v>161.97400000000007</v>
      </c>
      <c r="O13" s="10">
        <f>'JULY 2023'!T13</f>
        <v>87.2</v>
      </c>
      <c r="P13" s="9">
        <v>0</v>
      </c>
      <c r="Q13" s="9">
        <f>'JULY 2023'!Q13+'August 2023'!P13</f>
        <v>0</v>
      </c>
      <c r="R13" s="9">
        <v>0</v>
      </c>
      <c r="S13" s="9">
        <f>'JULY 2023'!S13+'August 2023'!R13</f>
        <v>0</v>
      </c>
      <c r="T13" s="10">
        <f t="shared" si="2"/>
        <v>87.2</v>
      </c>
      <c r="U13" s="10">
        <f t="shared" si="3"/>
        <v>1272.944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'JULY 2023'!H14</f>
        <v>2084.0799999999995</v>
      </c>
      <c r="D14" s="9">
        <v>0</v>
      </c>
      <c r="E14" s="9">
        <f>'JULY 2023'!E14+'August 2023'!D14</f>
        <v>0</v>
      </c>
      <c r="F14" s="9">
        <v>0</v>
      </c>
      <c r="G14" s="9">
        <f>'JULY 2023'!G14+'August 2023'!F14</f>
        <v>0.5</v>
      </c>
      <c r="H14" s="9">
        <f t="shared" si="0"/>
        <v>2084.0799999999995</v>
      </c>
      <c r="I14" s="9">
        <f>'JULY 2023'!N14</f>
        <v>213.42400000000001</v>
      </c>
      <c r="J14" s="9">
        <v>1.68</v>
      </c>
      <c r="K14" s="9">
        <f>'JULY 2023'!K14+'August 2023'!J14</f>
        <v>5.97</v>
      </c>
      <c r="L14" s="9">
        <v>0</v>
      </c>
      <c r="M14" s="9">
        <f>'JULY 2023'!M14+'August 2023'!L14</f>
        <v>0</v>
      </c>
      <c r="N14" s="9">
        <f t="shared" si="1"/>
        <v>215.10400000000001</v>
      </c>
      <c r="O14" s="10">
        <f>'JULY 2023'!T14</f>
        <v>404.22999999999996</v>
      </c>
      <c r="P14" s="9">
        <v>8.3800000000000008</v>
      </c>
      <c r="Q14" s="9">
        <f>'JULY 2023'!Q14+'August 2023'!P14</f>
        <v>9.0300000000000011</v>
      </c>
      <c r="R14" s="9">
        <v>0</v>
      </c>
      <c r="S14" s="9">
        <f>'JULY 2023'!S14+'August 2023'!R14</f>
        <v>0</v>
      </c>
      <c r="T14" s="10">
        <f t="shared" si="2"/>
        <v>412.60999999999996</v>
      </c>
      <c r="U14" s="10">
        <f t="shared" si="3"/>
        <v>2711.7939999999994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'JULY 2023'!H15</f>
        <v>3326.739999999998</v>
      </c>
      <c r="D15" s="15">
        <f t="shared" ref="D15:U15" si="5">SUM(D12:D14)</f>
        <v>0</v>
      </c>
      <c r="E15" s="15">
        <f t="shared" si="5"/>
        <v>0</v>
      </c>
      <c r="F15" s="15">
        <f t="shared" si="5"/>
        <v>0</v>
      </c>
      <c r="G15" s="15">
        <f t="shared" si="5"/>
        <v>0.5</v>
      </c>
      <c r="H15" s="15">
        <f t="shared" si="5"/>
        <v>3326.739999999998</v>
      </c>
      <c r="I15" s="15">
        <f>'JULY 2023'!N15</f>
        <v>466.59100000000007</v>
      </c>
      <c r="J15" s="15">
        <f t="shared" si="5"/>
        <v>2.9699999999999998</v>
      </c>
      <c r="K15" s="15">
        <f t="shared" si="5"/>
        <v>12.879999999999999</v>
      </c>
      <c r="L15" s="15">
        <f t="shared" si="5"/>
        <v>0</v>
      </c>
      <c r="M15" s="15">
        <f t="shared" si="5"/>
        <v>0</v>
      </c>
      <c r="N15" s="15">
        <f t="shared" si="5"/>
        <v>469.56100000000004</v>
      </c>
      <c r="O15" s="41">
        <f>'JULY 2023'!T15</f>
        <v>2039.82</v>
      </c>
      <c r="P15" s="15">
        <f t="shared" si="5"/>
        <v>8.3800000000000008</v>
      </c>
      <c r="Q15" s="15">
        <f t="shared" si="5"/>
        <v>9.4</v>
      </c>
      <c r="R15" s="15">
        <f t="shared" si="5"/>
        <v>0</v>
      </c>
      <c r="S15" s="15">
        <f t="shared" si="5"/>
        <v>0</v>
      </c>
      <c r="T15" s="15">
        <f t="shared" si="5"/>
        <v>2048.1999999999998</v>
      </c>
      <c r="U15" s="15">
        <f t="shared" si="5"/>
        <v>5844.5009999999984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'JULY 2023'!H16</f>
        <v>1319.8519999999994</v>
      </c>
      <c r="D16" s="9">
        <v>1.58</v>
      </c>
      <c r="E16" s="9">
        <f>'JULY 2023'!E16+'August 2023'!D16</f>
        <v>14.1</v>
      </c>
      <c r="F16" s="9">
        <v>0</v>
      </c>
      <c r="G16" s="9">
        <f>'JULY 2023'!G16+'August 2023'!F16</f>
        <v>0</v>
      </c>
      <c r="H16" s="9">
        <f t="shared" si="0"/>
        <v>1321.4319999999993</v>
      </c>
      <c r="I16" s="9">
        <f>'JULY 2023'!N16</f>
        <v>115.44000000000005</v>
      </c>
      <c r="J16" s="9">
        <v>0.38</v>
      </c>
      <c r="K16" s="9">
        <f>'JULY 2023'!K16+'August 2023'!J16</f>
        <v>1.85</v>
      </c>
      <c r="L16" s="9">
        <v>0</v>
      </c>
      <c r="M16" s="9">
        <f>'JULY 2023'!M16+'August 2023'!L16</f>
        <v>0</v>
      </c>
      <c r="N16" s="9">
        <f t="shared" si="1"/>
        <v>115.82000000000005</v>
      </c>
      <c r="O16" s="10">
        <f>'JULY 2023'!T16</f>
        <v>967.72900000000016</v>
      </c>
      <c r="P16" s="9">
        <v>1.79</v>
      </c>
      <c r="Q16" s="9">
        <f>'JULY 2023'!Q16+'August 2023'!P16</f>
        <v>94.27</v>
      </c>
      <c r="R16" s="9">
        <v>0</v>
      </c>
      <c r="S16" s="9">
        <f>'JULY 2023'!S16+'August 2023'!R16</f>
        <v>0</v>
      </c>
      <c r="T16" s="10">
        <f t="shared" si="2"/>
        <v>969.51900000000012</v>
      </c>
      <c r="U16" s="10">
        <f t="shared" si="3"/>
        <v>2406.7709999999997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'JULY 2023'!H17</f>
        <v>236.65399999999988</v>
      </c>
      <c r="D17" s="9">
        <v>0</v>
      </c>
      <c r="E17" s="9">
        <f>'JULY 2023'!E17+'August 2023'!D17</f>
        <v>0</v>
      </c>
      <c r="F17" s="9">
        <v>0</v>
      </c>
      <c r="G17" s="9">
        <f>'JULY 2023'!G17+'August 2023'!F17</f>
        <v>2.7</v>
      </c>
      <c r="H17" s="9">
        <f t="shared" si="0"/>
        <v>236.65399999999988</v>
      </c>
      <c r="I17" s="9">
        <f>'JULY 2023'!N17</f>
        <v>30.346999999999994</v>
      </c>
      <c r="J17" s="9">
        <v>0.18</v>
      </c>
      <c r="K17" s="9">
        <f>'JULY 2023'!K17+'August 2023'!J17</f>
        <v>0.83000000000000007</v>
      </c>
      <c r="L17" s="9">
        <v>0</v>
      </c>
      <c r="M17" s="9">
        <f>'JULY 2023'!M17+'August 2023'!L17</f>
        <v>0</v>
      </c>
      <c r="N17" s="9">
        <f t="shared" si="1"/>
        <v>30.526999999999994</v>
      </c>
      <c r="O17" s="10">
        <f>'JULY 2023'!T17</f>
        <v>501.90100000000001</v>
      </c>
      <c r="P17" s="9">
        <v>0</v>
      </c>
      <c r="Q17" s="9">
        <f>'JULY 2023'!Q17+'August 2023'!P17</f>
        <v>87.36</v>
      </c>
      <c r="R17" s="9">
        <v>0</v>
      </c>
      <c r="S17" s="9">
        <f>'JULY 2023'!S17+'August 2023'!R17</f>
        <v>0</v>
      </c>
      <c r="T17" s="10">
        <f t="shared" si="2"/>
        <v>501.90100000000001</v>
      </c>
      <c r="U17" s="10">
        <f t="shared" si="3"/>
        <v>769.08199999999988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'JULY 2023'!H18</f>
        <v>478.13499999999931</v>
      </c>
      <c r="D18" s="9">
        <v>0</v>
      </c>
      <c r="E18" s="9">
        <f>'JULY 2023'!E18+'August 2023'!D18</f>
        <v>0</v>
      </c>
      <c r="F18" s="9">
        <v>0</v>
      </c>
      <c r="G18" s="9">
        <f>'JULY 2023'!G18+'August 2023'!F18</f>
        <v>0</v>
      </c>
      <c r="H18" s="9">
        <f t="shared" si="0"/>
        <v>478.13499999999931</v>
      </c>
      <c r="I18" s="9">
        <f>'JULY 2023'!N18</f>
        <v>15.159999999999989</v>
      </c>
      <c r="J18" s="9">
        <v>1.58</v>
      </c>
      <c r="K18" s="9">
        <f>'JULY 2023'!K18+'August 2023'!J18</f>
        <v>1.7200000000000002</v>
      </c>
      <c r="L18" s="9">
        <v>0</v>
      </c>
      <c r="M18" s="9">
        <f>'JULY 2023'!M18+'August 2023'!L18</f>
        <v>0.12</v>
      </c>
      <c r="N18" s="9">
        <f t="shared" si="1"/>
        <v>16.739999999999988</v>
      </c>
      <c r="O18" s="10">
        <f>'JULY 2023'!T18</f>
        <v>480.89799999999997</v>
      </c>
      <c r="P18" s="9">
        <v>0.28000000000000003</v>
      </c>
      <c r="Q18" s="9">
        <f>'JULY 2023'!Q18+'August 2023'!P18</f>
        <v>0.34</v>
      </c>
      <c r="R18" s="9">
        <v>0</v>
      </c>
      <c r="S18" s="9">
        <f>'JULY 2023'!S18+'August 2023'!R18</f>
        <v>0</v>
      </c>
      <c r="T18" s="10">
        <f t="shared" si="2"/>
        <v>481.17799999999994</v>
      </c>
      <c r="U18" s="10">
        <f t="shared" si="3"/>
        <v>976.0529999999992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'JULY 2023'!H19</f>
        <v>2034.6409999999987</v>
      </c>
      <c r="D19" s="15">
        <f t="shared" ref="D19:U19" si="6">SUM(D16:D18)</f>
        <v>1.58</v>
      </c>
      <c r="E19" s="15">
        <f t="shared" si="6"/>
        <v>14.1</v>
      </c>
      <c r="F19" s="15">
        <f t="shared" si="6"/>
        <v>0</v>
      </c>
      <c r="G19" s="15">
        <f t="shared" si="6"/>
        <v>2.7</v>
      </c>
      <c r="H19" s="15">
        <f t="shared" si="6"/>
        <v>2036.2209999999986</v>
      </c>
      <c r="I19" s="15">
        <f>'JULY 2023'!N19</f>
        <v>160.94700000000003</v>
      </c>
      <c r="J19" s="15">
        <f t="shared" si="6"/>
        <v>2.14</v>
      </c>
      <c r="K19" s="15">
        <f t="shared" si="6"/>
        <v>4.4000000000000004</v>
      </c>
      <c r="L19" s="15">
        <f t="shared" si="6"/>
        <v>0</v>
      </c>
      <c r="M19" s="15">
        <f t="shared" si="6"/>
        <v>0.12</v>
      </c>
      <c r="N19" s="15">
        <f t="shared" si="6"/>
        <v>163.08700000000002</v>
      </c>
      <c r="O19" s="41">
        <f>'JULY 2023'!T19</f>
        <v>1950.528</v>
      </c>
      <c r="P19" s="15">
        <f t="shared" si="6"/>
        <v>2.0700000000000003</v>
      </c>
      <c r="Q19" s="15">
        <f t="shared" si="6"/>
        <v>181.97</v>
      </c>
      <c r="R19" s="15">
        <f t="shared" si="6"/>
        <v>0</v>
      </c>
      <c r="S19" s="15">
        <f t="shared" si="6"/>
        <v>0</v>
      </c>
      <c r="T19" s="15">
        <f t="shared" si="6"/>
        <v>1952.598</v>
      </c>
      <c r="U19" s="15">
        <f t="shared" si="6"/>
        <v>4151.905999999999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'JULY 2023'!H20</f>
        <v>1024.4549999999992</v>
      </c>
      <c r="D20" s="9">
        <v>0</v>
      </c>
      <c r="E20" s="9">
        <f>'JULY 2023'!E20+'August 2023'!D20</f>
        <v>0</v>
      </c>
      <c r="F20" s="9">
        <v>0</v>
      </c>
      <c r="G20" s="9">
        <f>'JULY 2023'!G20+'August 2023'!F20</f>
        <v>0</v>
      </c>
      <c r="H20" s="9">
        <f t="shared" si="0"/>
        <v>1024.4549999999992</v>
      </c>
      <c r="I20" s="9">
        <f>'JULY 2023'!N20</f>
        <v>156.62100000000012</v>
      </c>
      <c r="J20" s="9">
        <v>0.28000000000000003</v>
      </c>
      <c r="K20" s="9">
        <f>'JULY 2023'!K20+'August 2023'!J20</f>
        <v>1.66</v>
      </c>
      <c r="L20" s="9">
        <v>0</v>
      </c>
      <c r="M20" s="9">
        <f>'JULY 2023'!M20+'August 2023'!L20</f>
        <v>0</v>
      </c>
      <c r="N20" s="9">
        <f t="shared" si="1"/>
        <v>156.90100000000012</v>
      </c>
      <c r="O20" s="10">
        <f>'JULY 2023'!T20</f>
        <v>743.60099999999989</v>
      </c>
      <c r="P20" s="9">
        <v>0.5</v>
      </c>
      <c r="Q20" s="9">
        <f>'JULY 2023'!Q20+'August 2023'!P20</f>
        <v>1.38</v>
      </c>
      <c r="R20" s="9">
        <v>0</v>
      </c>
      <c r="S20" s="9">
        <f>'JULY 2023'!S20+'August 2023'!R20</f>
        <v>0</v>
      </c>
      <c r="T20" s="10">
        <f t="shared" si="2"/>
        <v>744.10099999999989</v>
      </c>
      <c r="U20" s="10">
        <f t="shared" si="3"/>
        <v>1925.4569999999992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'JULY 2023'!H21</f>
        <v>52.019999999999882</v>
      </c>
      <c r="D21" s="9">
        <v>0</v>
      </c>
      <c r="E21" s="9">
        <f>'JULY 2023'!E21+'August 2023'!D21</f>
        <v>0</v>
      </c>
      <c r="F21" s="9">
        <v>0</v>
      </c>
      <c r="G21" s="9">
        <f>'JULY 2023'!G21+'August 2023'!F21</f>
        <v>90.67</v>
      </c>
      <c r="H21" s="9">
        <f t="shared" si="0"/>
        <v>52.019999999999882</v>
      </c>
      <c r="I21" s="9">
        <f>'JULY 2023'!N21</f>
        <v>55.123000000000019</v>
      </c>
      <c r="J21" s="9">
        <v>0.97</v>
      </c>
      <c r="K21" s="9">
        <f>'JULY 2023'!K21+'August 2023'!J21</f>
        <v>3.3100000000000005</v>
      </c>
      <c r="L21" s="9">
        <v>0</v>
      </c>
      <c r="M21" s="9">
        <f>'JULY 2023'!M21+'August 2023'!L21</f>
        <v>0</v>
      </c>
      <c r="N21" s="9">
        <f t="shared" si="1"/>
        <v>56.093000000000018</v>
      </c>
      <c r="O21" s="10">
        <f>'JULY 2023'!T21</f>
        <v>309.29999999999995</v>
      </c>
      <c r="P21" s="9">
        <v>4.83</v>
      </c>
      <c r="Q21" s="9">
        <f>'JULY 2023'!Q21+'August 2023'!P21</f>
        <v>5.71</v>
      </c>
      <c r="R21" s="9">
        <v>0</v>
      </c>
      <c r="S21" s="9">
        <f>'JULY 2023'!S21+'August 2023'!R21</f>
        <v>2.48</v>
      </c>
      <c r="T21" s="10">
        <f t="shared" si="2"/>
        <v>314.12999999999994</v>
      </c>
      <c r="U21" s="10">
        <f t="shared" si="3"/>
        <v>422.24299999999982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'JULY 2023'!H22</f>
        <v>27.069999999999879</v>
      </c>
      <c r="D22" s="9">
        <v>0</v>
      </c>
      <c r="E22" s="9">
        <f>'JULY 2023'!E22+'August 2023'!D22</f>
        <v>0</v>
      </c>
      <c r="F22" s="9">
        <v>0</v>
      </c>
      <c r="G22" s="9">
        <f>'JULY 2023'!G22+'August 2023'!F22</f>
        <v>0</v>
      </c>
      <c r="H22" s="9">
        <f t="shared" si="0"/>
        <v>27.069999999999879</v>
      </c>
      <c r="I22" s="9">
        <f>'JULY 2023'!N22</f>
        <v>15.940000000000005</v>
      </c>
      <c r="J22" s="9">
        <v>0</v>
      </c>
      <c r="K22" s="9">
        <f>'JULY 2023'!K22+'August 2023'!J22</f>
        <v>0</v>
      </c>
      <c r="L22" s="9">
        <v>0</v>
      </c>
      <c r="M22" s="9">
        <f>'JULY 2023'!M22+'August 2023'!L22</f>
        <v>0</v>
      </c>
      <c r="N22" s="9">
        <f t="shared" si="1"/>
        <v>15.940000000000005</v>
      </c>
      <c r="O22" s="10">
        <f>'JULY 2023'!T22</f>
        <v>776.4499999999997</v>
      </c>
      <c r="P22" s="9">
        <v>0.15</v>
      </c>
      <c r="Q22" s="9">
        <f>'JULY 2023'!Q22+'August 2023'!P22</f>
        <v>0.56999999999999995</v>
      </c>
      <c r="R22" s="9">
        <v>0</v>
      </c>
      <c r="S22" s="9">
        <f>'JULY 2023'!S22+'August 2023'!R22</f>
        <v>0</v>
      </c>
      <c r="T22" s="10">
        <f t="shared" si="2"/>
        <v>776.59999999999968</v>
      </c>
      <c r="U22" s="10">
        <f t="shared" si="3"/>
        <v>819.60999999999956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'JULY 2023'!H23</f>
        <v>1141.2819999999997</v>
      </c>
      <c r="D23" s="9">
        <v>0.96</v>
      </c>
      <c r="E23" s="9">
        <f>'JULY 2023'!E23+'August 2023'!D23</f>
        <v>9.0399999999999991</v>
      </c>
      <c r="F23" s="9">
        <v>0</v>
      </c>
      <c r="G23" s="9">
        <f>'JULY 2023'!G23+'August 2023'!F23</f>
        <v>0</v>
      </c>
      <c r="H23" s="9">
        <f t="shared" si="0"/>
        <v>1142.2419999999997</v>
      </c>
      <c r="I23" s="9">
        <f>'JULY 2023'!N23</f>
        <v>53.633999999999986</v>
      </c>
      <c r="J23" s="9">
        <v>0.94</v>
      </c>
      <c r="K23" s="9">
        <f>'JULY 2023'!K23+'August 2023'!J23</f>
        <v>4.3699999999999992</v>
      </c>
      <c r="L23" s="9">
        <v>0</v>
      </c>
      <c r="M23" s="9">
        <f>'JULY 2023'!M23+'August 2023'!L23</f>
        <v>0</v>
      </c>
      <c r="N23" s="9">
        <f t="shared" si="1"/>
        <v>54.573999999999984</v>
      </c>
      <c r="O23" s="10">
        <f>'JULY 2023'!T23</f>
        <v>410.78499999999997</v>
      </c>
      <c r="P23" s="9">
        <v>1.93</v>
      </c>
      <c r="Q23" s="9">
        <f>'JULY 2023'!Q23+'August 2023'!P23</f>
        <v>7.879999999999999</v>
      </c>
      <c r="R23" s="9">
        <v>0</v>
      </c>
      <c r="S23" s="9">
        <f>'JULY 2023'!S23+'August 2023'!R23</f>
        <v>0</v>
      </c>
      <c r="T23" s="10">
        <f t="shared" si="2"/>
        <v>412.71499999999997</v>
      </c>
      <c r="U23" s="10">
        <f t="shared" si="3"/>
        <v>1609.5309999999997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'JULY 2023'!H24</f>
        <v>2244.8269999999989</v>
      </c>
      <c r="D24" s="15">
        <f t="shared" ref="D24:U24" si="7">SUM(D20:D23)</f>
        <v>0.96</v>
      </c>
      <c r="E24" s="15">
        <f t="shared" si="7"/>
        <v>9.0399999999999991</v>
      </c>
      <c r="F24" s="15">
        <f t="shared" si="7"/>
        <v>0</v>
      </c>
      <c r="G24" s="15">
        <f t="shared" si="7"/>
        <v>90.67</v>
      </c>
      <c r="H24" s="15">
        <f t="shared" si="7"/>
        <v>2245.7869999999989</v>
      </c>
      <c r="I24" s="15">
        <f>'JULY 2023'!N24</f>
        <v>281.3180000000001</v>
      </c>
      <c r="J24" s="15">
        <f t="shared" si="7"/>
        <v>2.19</v>
      </c>
      <c r="K24" s="15">
        <f t="shared" si="7"/>
        <v>9.34</v>
      </c>
      <c r="L24" s="15">
        <f t="shared" si="7"/>
        <v>0</v>
      </c>
      <c r="M24" s="15">
        <f t="shared" si="7"/>
        <v>0</v>
      </c>
      <c r="N24" s="15">
        <f t="shared" si="7"/>
        <v>283.50800000000015</v>
      </c>
      <c r="O24" s="41">
        <f>'JULY 2023'!T24</f>
        <v>2240.1359999999995</v>
      </c>
      <c r="P24" s="15">
        <f t="shared" si="7"/>
        <v>7.41</v>
      </c>
      <c r="Q24" s="15">
        <f t="shared" si="7"/>
        <v>15.54</v>
      </c>
      <c r="R24" s="15">
        <f t="shared" si="7"/>
        <v>0</v>
      </c>
      <c r="S24" s="15">
        <f t="shared" si="7"/>
        <v>2.48</v>
      </c>
      <c r="T24" s="15">
        <f t="shared" si="7"/>
        <v>2247.5459999999994</v>
      </c>
      <c r="U24" s="15">
        <f t="shared" si="7"/>
        <v>4776.8409999999985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'JULY 2023'!H25</f>
        <v>8842.5929999999953</v>
      </c>
      <c r="D25" s="15">
        <f t="shared" ref="D25:U25" si="8">D24+D19+D15+D11</f>
        <v>2.9</v>
      </c>
      <c r="E25" s="15">
        <f t="shared" si="8"/>
        <v>24.34</v>
      </c>
      <c r="F25" s="15">
        <f t="shared" si="8"/>
        <v>0</v>
      </c>
      <c r="G25" s="15">
        <f t="shared" si="8"/>
        <v>93.87</v>
      </c>
      <c r="H25" s="15">
        <f t="shared" si="8"/>
        <v>8845.4929999999968</v>
      </c>
      <c r="I25" s="15">
        <f>'JULY 2023'!N25</f>
        <v>1645.4930000000004</v>
      </c>
      <c r="J25" s="15">
        <f t="shared" si="8"/>
        <v>11.266999999999999</v>
      </c>
      <c r="K25" s="15">
        <f t="shared" si="8"/>
        <v>86.716000000000008</v>
      </c>
      <c r="L25" s="15">
        <f t="shared" si="8"/>
        <v>0</v>
      </c>
      <c r="M25" s="15">
        <f t="shared" si="8"/>
        <v>0.12</v>
      </c>
      <c r="N25" s="15">
        <f t="shared" si="8"/>
        <v>1656.7600000000002</v>
      </c>
      <c r="O25" s="41">
        <f>'JULY 2023'!T25</f>
        <v>7481.0639999999994</v>
      </c>
      <c r="P25" s="15">
        <f t="shared" si="8"/>
        <v>55.66</v>
      </c>
      <c r="Q25" s="15">
        <f t="shared" si="8"/>
        <v>507.25</v>
      </c>
      <c r="R25" s="15">
        <f t="shared" si="8"/>
        <v>0</v>
      </c>
      <c r="S25" s="15">
        <f t="shared" si="8"/>
        <v>21.72</v>
      </c>
      <c r="T25" s="15">
        <f t="shared" si="8"/>
        <v>7536.7239999999993</v>
      </c>
      <c r="U25" s="15">
        <f t="shared" si="8"/>
        <v>18038.976999999995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'JULY 2023'!H26</f>
        <v>1260.0419999999997</v>
      </c>
      <c r="D26" s="9">
        <v>17.239999999999998</v>
      </c>
      <c r="E26" s="9">
        <f>'JULY 2023'!E26+'August 2023'!D26</f>
        <v>39.299999999999997</v>
      </c>
      <c r="F26" s="9">
        <v>0</v>
      </c>
      <c r="G26" s="9">
        <f>'JULY 2023'!G26+'August 2023'!F26</f>
        <v>0.02</v>
      </c>
      <c r="H26" s="9">
        <f t="shared" si="0"/>
        <v>1277.2819999999997</v>
      </c>
      <c r="I26" s="9">
        <f>'JULY 2023'!N26</f>
        <v>0.76</v>
      </c>
      <c r="J26" s="9">
        <v>0</v>
      </c>
      <c r="K26" s="9">
        <f>'JULY 2023'!K26+'August 2023'!J26</f>
        <v>0.65</v>
      </c>
      <c r="L26" s="9">
        <v>0</v>
      </c>
      <c r="M26" s="9">
        <f>'JULY 2023'!M26+'August 2023'!L26</f>
        <v>0</v>
      </c>
      <c r="N26" s="9">
        <f t="shared" si="1"/>
        <v>0.76</v>
      </c>
      <c r="O26" s="10">
        <f>'JULY 2023'!T26</f>
        <v>206.23000000000002</v>
      </c>
      <c r="P26" s="9">
        <v>0.21</v>
      </c>
      <c r="Q26" s="9">
        <f>'JULY 2023'!Q26+'August 2023'!P26</f>
        <v>2.7099999999999995</v>
      </c>
      <c r="R26" s="9">
        <v>0</v>
      </c>
      <c r="S26" s="9">
        <f>'JULY 2023'!S26+'August 2023'!R26</f>
        <v>0</v>
      </c>
      <c r="T26" s="10">
        <f t="shared" si="2"/>
        <v>206.44000000000003</v>
      </c>
      <c r="U26" s="10">
        <f t="shared" si="3"/>
        <v>1484.4819999999997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'JULY 2023'!H27</f>
        <v>10451.266999999993</v>
      </c>
      <c r="D27" s="9">
        <v>10.039999999999999</v>
      </c>
      <c r="E27" s="9">
        <f>'JULY 2023'!E27+'August 2023'!D27</f>
        <v>47.15</v>
      </c>
      <c r="F27" s="9">
        <v>0</v>
      </c>
      <c r="G27" s="9">
        <f>'JULY 2023'!G27+'August 2023'!F27</f>
        <v>0</v>
      </c>
      <c r="H27" s="9">
        <f t="shared" si="0"/>
        <v>10461.306999999993</v>
      </c>
      <c r="I27" s="9">
        <f>'JULY 2023'!N27</f>
        <v>419.19499999999994</v>
      </c>
      <c r="J27" s="9">
        <v>3.49</v>
      </c>
      <c r="K27" s="9">
        <f>'JULY 2023'!K27+'August 2023'!J27</f>
        <v>14.250000000000002</v>
      </c>
      <c r="L27" s="9">
        <v>0</v>
      </c>
      <c r="M27" s="9">
        <f>'JULY 2023'!M27+'August 2023'!L27</f>
        <v>0</v>
      </c>
      <c r="N27" s="9">
        <f t="shared" si="1"/>
        <v>422.68499999999995</v>
      </c>
      <c r="O27" s="10">
        <f>'JULY 2023'!T27</f>
        <v>45.140000000000015</v>
      </c>
      <c r="P27" s="9">
        <v>0.05</v>
      </c>
      <c r="Q27" s="9">
        <f>'JULY 2023'!Q27+'August 2023'!P27</f>
        <v>1.6700000000000002</v>
      </c>
      <c r="R27" s="9">
        <v>0</v>
      </c>
      <c r="S27" s="9">
        <f>'JULY 2023'!S27+'August 2023'!R27</f>
        <v>0</v>
      </c>
      <c r="T27" s="10">
        <f t="shared" si="2"/>
        <v>45.190000000000012</v>
      </c>
      <c r="U27" s="10">
        <f t="shared" si="3"/>
        <v>10929.181999999993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'JULY 2023'!H28</f>
        <v>11711.308999999992</v>
      </c>
      <c r="D28" s="15">
        <f t="shared" ref="D28:U28" si="9">SUM(D26:D27)</f>
        <v>27.279999999999998</v>
      </c>
      <c r="E28" s="15">
        <f t="shared" si="9"/>
        <v>86.449999999999989</v>
      </c>
      <c r="F28" s="15">
        <f t="shared" si="9"/>
        <v>0</v>
      </c>
      <c r="G28" s="15">
        <f t="shared" si="9"/>
        <v>0.02</v>
      </c>
      <c r="H28" s="15">
        <f t="shared" si="9"/>
        <v>11738.588999999993</v>
      </c>
      <c r="I28" s="15">
        <f>'JULY 2023'!N28</f>
        <v>419.95499999999993</v>
      </c>
      <c r="J28" s="15">
        <f t="shared" si="9"/>
        <v>3.49</v>
      </c>
      <c r="K28" s="15">
        <f t="shared" si="9"/>
        <v>14.900000000000002</v>
      </c>
      <c r="L28" s="15">
        <f t="shared" si="9"/>
        <v>0</v>
      </c>
      <c r="M28" s="15">
        <f t="shared" si="9"/>
        <v>0</v>
      </c>
      <c r="N28" s="15">
        <f t="shared" si="9"/>
        <v>423.44499999999994</v>
      </c>
      <c r="O28" s="41">
        <f>'JULY 2023'!T28</f>
        <v>251.37000000000003</v>
      </c>
      <c r="P28" s="15">
        <f t="shared" si="9"/>
        <v>0.26</v>
      </c>
      <c r="Q28" s="15">
        <f t="shared" si="9"/>
        <v>4.38</v>
      </c>
      <c r="R28" s="15">
        <f t="shared" si="9"/>
        <v>0</v>
      </c>
      <c r="S28" s="15">
        <f t="shared" si="9"/>
        <v>0</v>
      </c>
      <c r="T28" s="15">
        <f t="shared" si="9"/>
        <v>251.63000000000005</v>
      </c>
      <c r="U28" s="15">
        <f t="shared" si="9"/>
        <v>12413.663999999993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'JULY 2023'!H29</f>
        <v>4609.4090000000015</v>
      </c>
      <c r="D29" s="9">
        <v>19.440000000000001</v>
      </c>
      <c r="E29" s="9">
        <f>'JULY 2023'!E29+'August 2023'!D29</f>
        <v>77.81</v>
      </c>
      <c r="F29" s="9">
        <v>0</v>
      </c>
      <c r="G29" s="9">
        <f>'JULY 2023'!G29+'August 2023'!F29</f>
        <v>0</v>
      </c>
      <c r="H29" s="9">
        <f t="shared" si="0"/>
        <v>4628.8490000000011</v>
      </c>
      <c r="I29" s="9">
        <f>'JULY 2023'!N29</f>
        <v>184.70000000000002</v>
      </c>
      <c r="J29" s="9">
        <v>0.67</v>
      </c>
      <c r="K29" s="9">
        <f>'JULY 2023'!K29+'August 2023'!J29</f>
        <v>0.67</v>
      </c>
      <c r="L29" s="9">
        <v>0</v>
      </c>
      <c r="M29" s="9">
        <f>'JULY 2023'!M29+'August 2023'!L29</f>
        <v>0</v>
      </c>
      <c r="N29" s="9">
        <f t="shared" si="1"/>
        <v>185.37</v>
      </c>
      <c r="O29" s="10">
        <f>'JULY 2023'!T29</f>
        <v>665.64599999999996</v>
      </c>
      <c r="P29" s="9">
        <f>0.34+7.67</f>
        <v>8.01</v>
      </c>
      <c r="Q29" s="9">
        <f>'JULY 2023'!Q29+'August 2023'!P29</f>
        <v>156.386</v>
      </c>
      <c r="R29" s="9">
        <v>0</v>
      </c>
      <c r="S29" s="9">
        <f>'JULY 2023'!S29+'August 2023'!R29</f>
        <v>0</v>
      </c>
      <c r="T29" s="10">
        <f t="shared" si="2"/>
        <v>673.65599999999995</v>
      </c>
      <c r="U29" s="10">
        <f t="shared" si="3"/>
        <v>5487.8750000000009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'JULY 2023'!H30</f>
        <v>6507.8970000000018</v>
      </c>
      <c r="D30" s="9">
        <v>16.66</v>
      </c>
      <c r="E30" s="9">
        <f>'JULY 2023'!E30+'August 2023'!D30</f>
        <v>73.564999999999998</v>
      </c>
      <c r="F30" s="9">
        <v>0</v>
      </c>
      <c r="G30" s="9">
        <f>'JULY 2023'!G30+'August 2023'!F30</f>
        <v>0</v>
      </c>
      <c r="H30" s="9">
        <f t="shared" si="0"/>
        <v>6524.5570000000016</v>
      </c>
      <c r="I30" s="9">
        <f>'JULY 2023'!N30</f>
        <v>134.70000000000002</v>
      </c>
      <c r="J30" s="9">
        <v>0</v>
      </c>
      <c r="K30" s="9">
        <f>'JULY 2023'!K30+'August 2023'!J30</f>
        <v>3.9</v>
      </c>
      <c r="L30" s="9">
        <v>0</v>
      </c>
      <c r="M30" s="9">
        <f>'JULY 2023'!M30+'August 2023'!L30</f>
        <v>0</v>
      </c>
      <c r="N30" s="9">
        <f t="shared" si="1"/>
        <v>134.70000000000002</v>
      </c>
      <c r="O30" s="10">
        <f>'JULY 2023'!T30</f>
        <v>311.12</v>
      </c>
      <c r="P30" s="9">
        <v>0</v>
      </c>
      <c r="Q30" s="9">
        <f>'JULY 2023'!Q30+'August 2023'!P30</f>
        <v>116.33999999999999</v>
      </c>
      <c r="R30" s="9">
        <v>0</v>
      </c>
      <c r="S30" s="9">
        <f>'JULY 2023'!S30+'August 2023'!R30</f>
        <v>0</v>
      </c>
      <c r="T30" s="10">
        <f t="shared" si="2"/>
        <v>311.12</v>
      </c>
      <c r="U30" s="10">
        <f t="shared" si="3"/>
        <v>6970.3770000000013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'JULY 2023'!H31</f>
        <v>3144.5669999999996</v>
      </c>
      <c r="D31" s="9">
        <v>2.7080000000000002</v>
      </c>
      <c r="E31" s="9">
        <f>'JULY 2023'!E31+'August 2023'!D31</f>
        <v>18.920000000000002</v>
      </c>
      <c r="F31" s="9">
        <v>0</v>
      </c>
      <c r="G31" s="9">
        <f>'JULY 2023'!G31+'August 2023'!F31</f>
        <v>0</v>
      </c>
      <c r="H31" s="9">
        <f t="shared" si="0"/>
        <v>3147.2749999999996</v>
      </c>
      <c r="I31" s="9">
        <f>'JULY 2023'!N31</f>
        <v>50.180000000000007</v>
      </c>
      <c r="J31" s="9">
        <v>0</v>
      </c>
      <c r="K31" s="9">
        <f>'JULY 2023'!K31+'August 2023'!J31</f>
        <v>0</v>
      </c>
      <c r="L31" s="9">
        <v>0</v>
      </c>
      <c r="M31" s="9">
        <f>'JULY 2023'!M31+'August 2023'!L31</f>
        <v>0</v>
      </c>
      <c r="N31" s="9">
        <f t="shared" si="1"/>
        <v>50.180000000000007</v>
      </c>
      <c r="O31" s="10">
        <f>'JULY 2023'!T31</f>
        <v>244.44</v>
      </c>
      <c r="P31" s="9">
        <v>0</v>
      </c>
      <c r="Q31" s="9">
        <f>'JULY 2023'!Q31+'August 2023'!P31</f>
        <v>0</v>
      </c>
      <c r="R31" s="9">
        <v>0</v>
      </c>
      <c r="S31" s="9">
        <f>'JULY 2023'!S31+'August 2023'!R31</f>
        <v>0</v>
      </c>
      <c r="T31" s="10">
        <f t="shared" si="2"/>
        <v>244.44</v>
      </c>
      <c r="U31" s="10">
        <f t="shared" si="3"/>
        <v>3441.8949999999995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'JULY 2023'!H32</f>
        <v>4416.0999999999995</v>
      </c>
      <c r="D32" s="9">
        <v>5.91</v>
      </c>
      <c r="E32" s="9">
        <f>'JULY 2023'!E32+'August 2023'!D32</f>
        <v>20.73</v>
      </c>
      <c r="F32" s="9">
        <v>0</v>
      </c>
      <c r="G32" s="9">
        <f>'JULY 2023'!G32+'August 2023'!F32</f>
        <v>0</v>
      </c>
      <c r="H32" s="9">
        <f t="shared" si="0"/>
        <v>4422.0099999999993</v>
      </c>
      <c r="I32" s="9">
        <f>'JULY 2023'!N32</f>
        <v>244.82999999999996</v>
      </c>
      <c r="J32" s="9">
        <v>3.88</v>
      </c>
      <c r="K32" s="9">
        <f>'JULY 2023'!K32+'August 2023'!J32</f>
        <v>22.330000000000002</v>
      </c>
      <c r="L32" s="9">
        <v>0</v>
      </c>
      <c r="M32" s="9">
        <f>'JULY 2023'!M32+'August 2023'!L32</f>
        <v>0</v>
      </c>
      <c r="N32" s="9">
        <f t="shared" si="1"/>
        <v>248.70999999999995</v>
      </c>
      <c r="O32" s="10">
        <f>'JULY 2023'!T32</f>
        <v>243.69999999999996</v>
      </c>
      <c r="P32" s="9">
        <v>0</v>
      </c>
      <c r="Q32" s="9">
        <f>'JULY 2023'!Q32+'August 2023'!P32</f>
        <v>0.05</v>
      </c>
      <c r="R32" s="9">
        <v>0</v>
      </c>
      <c r="S32" s="9">
        <f>'JULY 2023'!S32+'August 2023'!R32</f>
        <v>0</v>
      </c>
      <c r="T32" s="10">
        <f t="shared" si="2"/>
        <v>243.69999999999996</v>
      </c>
      <c r="U32" s="10">
        <f t="shared" si="3"/>
        <v>4914.4199999999992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'JULY 2023'!H33</f>
        <v>18677.973000000002</v>
      </c>
      <c r="D33" s="15">
        <f t="shared" ref="D33:U33" si="10">SUM(D29:D32)</f>
        <v>44.718000000000004</v>
      </c>
      <c r="E33" s="15">
        <f t="shared" si="10"/>
        <v>191.02500000000001</v>
      </c>
      <c r="F33" s="15">
        <f t="shared" si="10"/>
        <v>0</v>
      </c>
      <c r="G33" s="15">
        <f t="shared" si="10"/>
        <v>0</v>
      </c>
      <c r="H33" s="15">
        <f t="shared" si="10"/>
        <v>18722.691000000003</v>
      </c>
      <c r="I33" s="15">
        <f>'JULY 2023'!N33</f>
        <v>614.41</v>
      </c>
      <c r="J33" s="15">
        <f t="shared" si="10"/>
        <v>4.55</v>
      </c>
      <c r="K33" s="15">
        <f t="shared" si="10"/>
        <v>26.900000000000002</v>
      </c>
      <c r="L33" s="15">
        <f t="shared" si="10"/>
        <v>0</v>
      </c>
      <c r="M33" s="15">
        <f t="shared" si="10"/>
        <v>0</v>
      </c>
      <c r="N33" s="15">
        <f t="shared" si="10"/>
        <v>618.96</v>
      </c>
      <c r="O33" s="41">
        <f>'JULY 2023'!T33</f>
        <v>1464.9059999999999</v>
      </c>
      <c r="P33" s="15">
        <f t="shared" si="10"/>
        <v>8.01</v>
      </c>
      <c r="Q33" s="15">
        <f t="shared" si="10"/>
        <v>272.77600000000001</v>
      </c>
      <c r="R33" s="15">
        <f t="shared" si="10"/>
        <v>0</v>
      </c>
      <c r="S33" s="15">
        <f t="shared" si="10"/>
        <v>0</v>
      </c>
      <c r="T33" s="15">
        <f t="shared" si="10"/>
        <v>1472.9159999999999</v>
      </c>
      <c r="U33" s="15">
        <f t="shared" si="10"/>
        <v>20814.566999999999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'JULY 2023'!H34</f>
        <v>6247.1700000000019</v>
      </c>
      <c r="D34" s="9">
        <f>3.1+20.17</f>
        <v>23.270000000000003</v>
      </c>
      <c r="E34" s="9">
        <f>'JULY 2023'!E34+'August 2023'!D34</f>
        <v>169.08</v>
      </c>
      <c r="F34" s="9">
        <v>0</v>
      </c>
      <c r="G34" s="9">
        <f>'JULY 2023'!G34+'August 2023'!F34</f>
        <v>26.64</v>
      </c>
      <c r="H34" s="9">
        <f t="shared" si="0"/>
        <v>6270.4400000000023</v>
      </c>
      <c r="I34" s="9">
        <f>'JULY 2023'!N34</f>
        <v>2</v>
      </c>
      <c r="J34" s="9">
        <v>0</v>
      </c>
      <c r="K34" s="9">
        <f>'JULY 2023'!K34+'August 2023'!J34</f>
        <v>0</v>
      </c>
      <c r="L34" s="9">
        <v>0</v>
      </c>
      <c r="M34" s="9">
        <f>'JULY 2023'!M34+'August 2023'!L34</f>
        <v>0</v>
      </c>
      <c r="N34" s="9">
        <f t="shared" si="1"/>
        <v>2</v>
      </c>
      <c r="O34" s="10">
        <f>'JULY 2023'!T34</f>
        <v>21.87</v>
      </c>
      <c r="P34" s="9">
        <v>0</v>
      </c>
      <c r="Q34" s="9">
        <f>'JULY 2023'!Q34+'August 2023'!P34</f>
        <v>0.18</v>
      </c>
      <c r="R34" s="9">
        <v>0</v>
      </c>
      <c r="S34" s="9">
        <f>'JULY 2023'!S34+'August 2023'!R34</f>
        <v>17.010000000000002</v>
      </c>
      <c r="T34" s="10">
        <f t="shared" si="2"/>
        <v>21.87</v>
      </c>
      <c r="U34" s="10">
        <f t="shared" si="3"/>
        <v>6294.3100000000022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'JULY 2023'!H35</f>
        <v>6746.7250000000013</v>
      </c>
      <c r="D35" s="9">
        <f>13.42+437.5</f>
        <v>450.92</v>
      </c>
      <c r="E35" s="9">
        <f>'JULY 2023'!E35+'August 2023'!D35</f>
        <v>2287.8799999999997</v>
      </c>
      <c r="F35" s="9">
        <v>0</v>
      </c>
      <c r="G35" s="9">
        <f>'JULY 2023'!G35+'August 2023'!F35</f>
        <v>0</v>
      </c>
      <c r="H35" s="9">
        <f t="shared" si="0"/>
        <v>7197.6450000000013</v>
      </c>
      <c r="I35" s="9">
        <f>'JULY 2023'!N35</f>
        <v>0.1</v>
      </c>
      <c r="J35" s="9">
        <v>0</v>
      </c>
      <c r="K35" s="9">
        <f>'JULY 2023'!K35+'August 2023'!J35</f>
        <v>0</v>
      </c>
      <c r="L35" s="9">
        <v>0</v>
      </c>
      <c r="M35" s="9">
        <f>'JULY 2023'!M35+'August 2023'!L35</f>
        <v>0</v>
      </c>
      <c r="N35" s="9">
        <f t="shared" si="1"/>
        <v>0.1</v>
      </c>
      <c r="O35" s="10">
        <f>'JULY 2023'!T35</f>
        <v>125.47000000000001</v>
      </c>
      <c r="P35" s="9">
        <v>0</v>
      </c>
      <c r="Q35" s="9">
        <f>'JULY 2023'!Q35+'August 2023'!P35</f>
        <v>0</v>
      </c>
      <c r="R35" s="9">
        <v>0</v>
      </c>
      <c r="S35" s="9">
        <f>'JULY 2023'!S35+'August 2023'!R35</f>
        <v>0</v>
      </c>
      <c r="T35" s="10">
        <f t="shared" si="2"/>
        <v>125.47000000000001</v>
      </c>
      <c r="U35" s="10">
        <f t="shared" si="3"/>
        <v>7323.215000000002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'JULY 2023'!H36</f>
        <v>20758.440000000006</v>
      </c>
      <c r="D36" s="9">
        <f>8.54+305.38</f>
        <v>313.92</v>
      </c>
      <c r="E36" s="9">
        <f>'JULY 2023'!E36+'August 2023'!D36</f>
        <v>1603.34</v>
      </c>
      <c r="F36" s="9">
        <v>0</v>
      </c>
      <c r="G36" s="9">
        <f>'JULY 2023'!G36+'August 2023'!F36</f>
        <v>0</v>
      </c>
      <c r="H36" s="9">
        <f t="shared" si="0"/>
        <v>21072.360000000004</v>
      </c>
      <c r="I36" s="9">
        <f>'JULY 2023'!N36</f>
        <v>8.5</v>
      </c>
      <c r="J36" s="9">
        <v>0</v>
      </c>
      <c r="K36" s="9">
        <f>'JULY 2023'!K36+'August 2023'!J36</f>
        <v>0</v>
      </c>
      <c r="L36" s="9">
        <v>0</v>
      </c>
      <c r="M36" s="9">
        <f>'JULY 2023'!M36+'August 2023'!L36</f>
        <v>0</v>
      </c>
      <c r="N36" s="9">
        <f t="shared" si="1"/>
        <v>8.5</v>
      </c>
      <c r="O36" s="10">
        <f>'JULY 2023'!T36</f>
        <v>72.39</v>
      </c>
      <c r="P36" s="9">
        <v>0</v>
      </c>
      <c r="Q36" s="9">
        <f>'JULY 2023'!Q36+'August 2023'!P36</f>
        <v>0</v>
      </c>
      <c r="R36" s="9">
        <v>0</v>
      </c>
      <c r="S36" s="9">
        <f>'JULY 2023'!S36+'August 2023'!R36</f>
        <v>0</v>
      </c>
      <c r="T36" s="10">
        <f t="shared" si="2"/>
        <v>72.39</v>
      </c>
      <c r="U36" s="10">
        <f t="shared" si="3"/>
        <v>21153.250000000004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'JULY 2023'!H37</f>
        <v>7040.9999999999991</v>
      </c>
      <c r="D37" s="9">
        <v>6.04</v>
      </c>
      <c r="E37" s="9">
        <f>'JULY 2023'!E37+'August 2023'!D37</f>
        <v>22.1</v>
      </c>
      <c r="F37" s="9">
        <v>0</v>
      </c>
      <c r="G37" s="9">
        <f>'JULY 2023'!G37+'August 2023'!F37</f>
        <v>0.02</v>
      </c>
      <c r="H37" s="9">
        <f t="shared" si="0"/>
        <v>7047.0399999999991</v>
      </c>
      <c r="I37" s="9">
        <f>'JULY 2023'!N37</f>
        <v>0</v>
      </c>
      <c r="J37" s="9">
        <v>0</v>
      </c>
      <c r="K37" s="9">
        <f>'JULY 2023'!K37+'August 2023'!J37</f>
        <v>0</v>
      </c>
      <c r="L37" s="9">
        <v>0</v>
      </c>
      <c r="M37" s="9">
        <f>'JULY 2023'!M37+'August 2023'!L37</f>
        <v>0</v>
      </c>
      <c r="N37" s="9">
        <f t="shared" si="1"/>
        <v>0</v>
      </c>
      <c r="O37" s="10">
        <f>'JULY 2023'!T37</f>
        <v>3.1</v>
      </c>
      <c r="P37" s="9">
        <v>0</v>
      </c>
      <c r="Q37" s="9">
        <f>'JULY 2023'!Q37+'August 2023'!P37</f>
        <v>0</v>
      </c>
      <c r="R37" s="9">
        <v>0</v>
      </c>
      <c r="S37" s="9">
        <f>'JULY 2023'!S37+'August 2023'!R37</f>
        <v>0</v>
      </c>
      <c r="T37" s="10">
        <f t="shared" si="2"/>
        <v>3.1</v>
      </c>
      <c r="U37" s="10">
        <f t="shared" si="3"/>
        <v>7050.1399999999994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'JULY 2023'!H38</f>
        <v>40793.335000000006</v>
      </c>
      <c r="D38" s="15">
        <f t="shared" ref="D38:U38" si="11">SUM(D34:D37)</f>
        <v>794.15</v>
      </c>
      <c r="E38" s="15">
        <f t="shared" si="11"/>
        <v>4082.3999999999992</v>
      </c>
      <c r="F38" s="15">
        <f t="shared" si="11"/>
        <v>0</v>
      </c>
      <c r="G38" s="15">
        <f t="shared" si="11"/>
        <v>26.66</v>
      </c>
      <c r="H38" s="15">
        <f t="shared" si="11"/>
        <v>41587.485000000008</v>
      </c>
      <c r="I38" s="15">
        <f>'JULY 2023'!N38</f>
        <v>10.6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11"/>
        <v>10.6</v>
      </c>
      <c r="O38" s="41">
        <f>'JULY 2023'!T38</f>
        <v>222.83</v>
      </c>
      <c r="P38" s="15">
        <f t="shared" si="11"/>
        <v>0</v>
      </c>
      <c r="Q38" s="15">
        <f t="shared" si="11"/>
        <v>0.18</v>
      </c>
      <c r="R38" s="15">
        <f t="shared" si="11"/>
        <v>0</v>
      </c>
      <c r="S38" s="15">
        <f t="shared" si="11"/>
        <v>17.010000000000002</v>
      </c>
      <c r="T38" s="15">
        <f t="shared" si="11"/>
        <v>222.83</v>
      </c>
      <c r="U38" s="15">
        <f t="shared" si="11"/>
        <v>41820.915000000008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'JULY 2023'!H39</f>
        <v>71182.616999999998</v>
      </c>
      <c r="D39" s="15">
        <f t="shared" ref="D39:U39" si="12">D38+D33+D28</f>
        <v>866.14799999999991</v>
      </c>
      <c r="E39" s="15">
        <f t="shared" si="12"/>
        <v>4359.8749999999991</v>
      </c>
      <c r="F39" s="15">
        <f t="shared" si="12"/>
        <v>0</v>
      </c>
      <c r="G39" s="15">
        <f t="shared" si="12"/>
        <v>26.68</v>
      </c>
      <c r="H39" s="15">
        <f t="shared" si="12"/>
        <v>72048.764999999999</v>
      </c>
      <c r="I39" s="15">
        <f>'JULY 2023'!N39</f>
        <v>1044.9649999999999</v>
      </c>
      <c r="J39" s="15">
        <f t="shared" si="12"/>
        <v>8.0399999999999991</v>
      </c>
      <c r="K39" s="15">
        <f t="shared" si="12"/>
        <v>41.800000000000004</v>
      </c>
      <c r="L39" s="15">
        <f t="shared" si="12"/>
        <v>0</v>
      </c>
      <c r="M39" s="15">
        <f t="shared" si="12"/>
        <v>0</v>
      </c>
      <c r="N39" s="15">
        <f t="shared" si="12"/>
        <v>1053.0050000000001</v>
      </c>
      <c r="O39" s="41">
        <f>'JULY 2023'!T39</f>
        <v>1939.106</v>
      </c>
      <c r="P39" s="15">
        <f t="shared" si="12"/>
        <v>8.27</v>
      </c>
      <c r="Q39" s="15">
        <f t="shared" si="12"/>
        <v>277.33600000000001</v>
      </c>
      <c r="R39" s="15">
        <f t="shared" si="12"/>
        <v>0</v>
      </c>
      <c r="S39" s="15">
        <f t="shared" si="12"/>
        <v>17.010000000000002</v>
      </c>
      <c r="T39" s="15">
        <f t="shared" si="12"/>
        <v>1947.376</v>
      </c>
      <c r="U39" s="15">
        <f t="shared" si="12"/>
        <v>75049.145999999993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'JULY 2023'!H40</f>
        <v>13952.548000000003</v>
      </c>
      <c r="D40" s="9">
        <v>14.61</v>
      </c>
      <c r="E40" s="9">
        <f>'JULY 2023'!E40+'August 2023'!D40</f>
        <v>57.910000000000004</v>
      </c>
      <c r="F40" s="9">
        <v>0</v>
      </c>
      <c r="G40" s="9">
        <f>'JULY 2023'!G40+'August 2023'!F40</f>
        <v>0</v>
      </c>
      <c r="H40" s="9">
        <f t="shared" si="0"/>
        <v>13967.158000000003</v>
      </c>
      <c r="I40" s="9">
        <f>'JULY 2023'!N40</f>
        <v>226.8</v>
      </c>
      <c r="J40" s="9">
        <v>0</v>
      </c>
      <c r="K40" s="9">
        <f>'JULY 2023'!K40+'August 2023'!J40</f>
        <v>0</v>
      </c>
      <c r="L40" s="9">
        <v>0</v>
      </c>
      <c r="M40" s="9">
        <f>'JULY 2023'!M40+'August 2023'!L40</f>
        <v>0</v>
      </c>
      <c r="N40" s="9">
        <f t="shared" si="1"/>
        <v>226.8</v>
      </c>
      <c r="O40" s="10">
        <f>'JULY 2023'!T40</f>
        <v>75.02000000000001</v>
      </c>
      <c r="P40" s="9">
        <v>0</v>
      </c>
      <c r="Q40" s="9">
        <f>'JULY 2023'!Q40+'August 2023'!P40</f>
        <v>0</v>
      </c>
      <c r="R40" s="9">
        <v>0</v>
      </c>
      <c r="S40" s="9">
        <f>'JULY 2023'!S40+'August 2023'!R40</f>
        <v>0</v>
      </c>
      <c r="T40" s="10">
        <f t="shared" si="2"/>
        <v>75.02000000000001</v>
      </c>
      <c r="U40" s="10">
        <f t="shared" si="3"/>
        <v>14268.978000000003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'JULY 2023'!H41</f>
        <v>10701.725999999995</v>
      </c>
      <c r="D41" s="9">
        <v>2.96</v>
      </c>
      <c r="E41" s="9">
        <f>'JULY 2023'!E41+'August 2023'!D41</f>
        <v>12.45</v>
      </c>
      <c r="F41" s="9">
        <v>0</v>
      </c>
      <c r="G41" s="9">
        <f>'JULY 2023'!G41+'August 2023'!F41</f>
        <v>0</v>
      </c>
      <c r="H41" s="9">
        <f t="shared" si="0"/>
        <v>10704.685999999994</v>
      </c>
      <c r="I41" s="9">
        <f>'JULY 2023'!N41</f>
        <v>0</v>
      </c>
      <c r="J41" s="9">
        <v>0</v>
      </c>
      <c r="K41" s="9">
        <f>'JULY 2023'!K41+'August 2023'!J41</f>
        <v>0</v>
      </c>
      <c r="L41" s="9">
        <v>0</v>
      </c>
      <c r="M41" s="9">
        <f>'JULY 2023'!M41+'August 2023'!L41</f>
        <v>0</v>
      </c>
      <c r="N41" s="9">
        <f t="shared" si="1"/>
        <v>0</v>
      </c>
      <c r="O41" s="10">
        <f>'JULY 2023'!T41</f>
        <v>89.580000000000013</v>
      </c>
      <c r="P41" s="9">
        <v>0</v>
      </c>
      <c r="Q41" s="9">
        <f>'JULY 2023'!Q41+'August 2023'!P41</f>
        <v>0</v>
      </c>
      <c r="R41" s="9">
        <v>0</v>
      </c>
      <c r="S41" s="9">
        <f>'JULY 2023'!S41+'August 2023'!R41</f>
        <v>0</v>
      </c>
      <c r="T41" s="10">
        <f t="shared" si="2"/>
        <v>89.580000000000013</v>
      </c>
      <c r="U41" s="10">
        <f t="shared" si="3"/>
        <v>10794.265999999994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'JULY 2023'!H42</f>
        <v>24523.994000000006</v>
      </c>
      <c r="D42" s="9">
        <f>18.8+96.87</f>
        <v>115.67</v>
      </c>
      <c r="E42" s="9">
        <f>'JULY 2023'!E42+'August 2023'!D42</f>
        <v>559.43000000000006</v>
      </c>
      <c r="F42" s="9">
        <v>0</v>
      </c>
      <c r="G42" s="9">
        <f>'JULY 2023'!G42+'August 2023'!F42</f>
        <v>0</v>
      </c>
      <c r="H42" s="9">
        <f t="shared" si="0"/>
        <v>24639.664000000004</v>
      </c>
      <c r="I42" s="9">
        <f>'JULY 2023'!N42</f>
        <v>0</v>
      </c>
      <c r="J42" s="9">
        <v>0</v>
      </c>
      <c r="K42" s="9">
        <f>'JULY 2023'!K42+'August 2023'!J42</f>
        <v>0</v>
      </c>
      <c r="L42" s="9">
        <v>0</v>
      </c>
      <c r="M42" s="9">
        <f>'JULY 2023'!M42+'August 2023'!L42</f>
        <v>0</v>
      </c>
      <c r="N42" s="9">
        <f t="shared" si="1"/>
        <v>0</v>
      </c>
      <c r="O42" s="10">
        <f>'JULY 2023'!T42</f>
        <v>38.47</v>
      </c>
      <c r="P42" s="9">
        <v>0</v>
      </c>
      <c r="Q42" s="9">
        <f>'JULY 2023'!Q42+'August 2023'!P42</f>
        <v>0</v>
      </c>
      <c r="R42" s="9">
        <v>0</v>
      </c>
      <c r="S42" s="9">
        <f>'JULY 2023'!S42+'August 2023'!R42</f>
        <v>0</v>
      </c>
      <c r="T42" s="10">
        <f t="shared" si="2"/>
        <v>38.47</v>
      </c>
      <c r="U42" s="10">
        <f t="shared" si="3"/>
        <v>24678.134000000005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'JULY 2023'!H43</f>
        <v>2804.0030000000002</v>
      </c>
      <c r="D43" s="9">
        <f>2.75+55.71</f>
        <v>58.46</v>
      </c>
      <c r="E43" s="9">
        <f>'JULY 2023'!E43+'August 2023'!D43</f>
        <v>382.46</v>
      </c>
      <c r="F43" s="9">
        <v>0</v>
      </c>
      <c r="G43" s="9">
        <f>'JULY 2023'!G43+'August 2023'!F43</f>
        <v>0</v>
      </c>
      <c r="H43" s="9">
        <f t="shared" si="0"/>
        <v>2862.4630000000002</v>
      </c>
      <c r="I43" s="9">
        <f>'JULY 2023'!N43</f>
        <v>0</v>
      </c>
      <c r="J43" s="9">
        <v>0</v>
      </c>
      <c r="K43" s="9">
        <f>'JULY 2023'!K43+'August 2023'!J43</f>
        <v>0</v>
      </c>
      <c r="L43" s="9">
        <v>0</v>
      </c>
      <c r="M43" s="9">
        <f>'JULY 2023'!M43+'August 2023'!L43</f>
        <v>0</v>
      </c>
      <c r="N43" s="9">
        <f t="shared" si="1"/>
        <v>0</v>
      </c>
      <c r="O43" s="10">
        <f>'JULY 2023'!T43</f>
        <v>146.49</v>
      </c>
      <c r="P43" s="9">
        <v>0</v>
      </c>
      <c r="Q43" s="9">
        <f>'JULY 2023'!Q43+'August 2023'!P43</f>
        <v>0</v>
      </c>
      <c r="R43" s="9">
        <v>0</v>
      </c>
      <c r="S43" s="9">
        <f>'JULY 2023'!S43+'August 2023'!R43</f>
        <v>0</v>
      </c>
      <c r="T43" s="10">
        <f t="shared" si="2"/>
        <v>146.49</v>
      </c>
      <c r="U43" s="10">
        <f t="shared" si="3"/>
        <v>3008.9530000000004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'JULY 2023'!H44</f>
        <v>51982.271000000001</v>
      </c>
      <c r="D44" s="15">
        <f t="shared" ref="D44:U44" si="13">SUM(D40:D43)</f>
        <v>191.70000000000002</v>
      </c>
      <c r="E44" s="15">
        <f t="shared" si="13"/>
        <v>1012.25</v>
      </c>
      <c r="F44" s="15">
        <f t="shared" si="13"/>
        <v>0</v>
      </c>
      <c r="G44" s="15">
        <f t="shared" si="13"/>
        <v>0</v>
      </c>
      <c r="H44" s="15">
        <f t="shared" si="13"/>
        <v>52173.971000000005</v>
      </c>
      <c r="I44" s="15">
        <f>'JULY 2023'!N44</f>
        <v>226.8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3"/>
        <v>226.8</v>
      </c>
      <c r="O44" s="41">
        <f>'JULY 2023'!T44</f>
        <v>349.56000000000006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3"/>
        <v>0</v>
      </c>
      <c r="T44" s="15">
        <f t="shared" si="13"/>
        <v>349.56000000000006</v>
      </c>
      <c r="U44" s="15">
        <f t="shared" si="13"/>
        <v>52750.331000000006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'JULY 2023'!H45</f>
        <v>14152.575000000001</v>
      </c>
      <c r="D45" s="9">
        <v>4.7</v>
      </c>
      <c r="E45" s="9">
        <f>'JULY 2023'!E45+'August 2023'!D45</f>
        <v>31.61</v>
      </c>
      <c r="F45" s="9">
        <v>0</v>
      </c>
      <c r="G45" s="9">
        <f>'JULY 2023'!G45+'August 2023'!F45</f>
        <v>0</v>
      </c>
      <c r="H45" s="9">
        <f t="shared" si="0"/>
        <v>14157.275000000001</v>
      </c>
      <c r="I45" s="9">
        <f>'JULY 2023'!N45</f>
        <v>8.15</v>
      </c>
      <c r="J45" s="9">
        <v>0</v>
      </c>
      <c r="K45" s="9">
        <f>'JULY 2023'!K45+'August 2023'!J45</f>
        <v>1.48</v>
      </c>
      <c r="L45" s="9">
        <v>0</v>
      </c>
      <c r="M45" s="9">
        <f>'JULY 2023'!M45+'August 2023'!L45</f>
        <v>0</v>
      </c>
      <c r="N45" s="9">
        <f t="shared" si="1"/>
        <v>8.15</v>
      </c>
      <c r="O45" s="10">
        <f>'JULY 2023'!T45</f>
        <v>105.87000000000002</v>
      </c>
      <c r="P45" s="9">
        <v>0</v>
      </c>
      <c r="Q45" s="9">
        <f>'JULY 2023'!Q45+'August 2023'!P45</f>
        <v>0</v>
      </c>
      <c r="R45" s="9">
        <v>0</v>
      </c>
      <c r="S45" s="9">
        <f>'JULY 2023'!S45+'August 2023'!R45</f>
        <v>0</v>
      </c>
      <c r="T45" s="10">
        <f t="shared" si="2"/>
        <v>105.87000000000002</v>
      </c>
      <c r="U45" s="10">
        <f t="shared" si="3"/>
        <v>14271.295000000002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'JULY 2023'!H46</f>
        <v>7498.5349999999989</v>
      </c>
      <c r="D46" s="9">
        <v>13.67</v>
      </c>
      <c r="E46" s="9">
        <f>'JULY 2023'!E46+'August 2023'!D46</f>
        <v>99.15</v>
      </c>
      <c r="F46" s="9">
        <v>0</v>
      </c>
      <c r="G46" s="9">
        <f>'JULY 2023'!G46+'August 2023'!F46</f>
        <v>0</v>
      </c>
      <c r="H46" s="9">
        <f t="shared" si="0"/>
        <v>7512.204999999999</v>
      </c>
      <c r="I46" s="9">
        <f>'JULY 2023'!N46</f>
        <v>0</v>
      </c>
      <c r="J46" s="9">
        <v>0</v>
      </c>
      <c r="K46" s="9">
        <f>'JULY 2023'!K46+'August 2023'!J46</f>
        <v>0</v>
      </c>
      <c r="L46" s="9">
        <v>0</v>
      </c>
      <c r="M46" s="9">
        <f>'JULY 2023'!M46+'August 2023'!L46</f>
        <v>0</v>
      </c>
      <c r="N46" s="9">
        <f t="shared" si="1"/>
        <v>0</v>
      </c>
      <c r="O46" s="10">
        <f>'JULY 2023'!T46</f>
        <v>7.5900000000000007</v>
      </c>
      <c r="P46" s="9">
        <v>0</v>
      </c>
      <c r="Q46" s="9">
        <f>'JULY 2023'!Q46+'August 2023'!P46</f>
        <v>0</v>
      </c>
      <c r="R46" s="9">
        <v>0</v>
      </c>
      <c r="S46" s="9">
        <f>'JULY 2023'!S46+'August 2023'!R46</f>
        <v>0</v>
      </c>
      <c r="T46" s="10">
        <f t="shared" si="2"/>
        <v>7.5900000000000007</v>
      </c>
      <c r="U46" s="10">
        <f t="shared" si="3"/>
        <v>7519.7949999999992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'JULY 2023'!H47</f>
        <v>12305.380000000006</v>
      </c>
      <c r="D47" s="9">
        <v>0.91</v>
      </c>
      <c r="E47" s="9">
        <f>'JULY 2023'!E47+'August 2023'!D47</f>
        <v>2.25</v>
      </c>
      <c r="F47" s="9">
        <v>0</v>
      </c>
      <c r="G47" s="9">
        <f>'JULY 2023'!G47+'August 2023'!F47</f>
        <v>0</v>
      </c>
      <c r="H47" s="9">
        <f t="shared" si="0"/>
        <v>12306.290000000006</v>
      </c>
      <c r="I47" s="9">
        <f>'JULY 2023'!N47</f>
        <v>1.2999999999999998</v>
      </c>
      <c r="J47" s="9">
        <v>0</v>
      </c>
      <c r="K47" s="9">
        <f>'JULY 2023'!K47+'August 2023'!J47</f>
        <v>0</v>
      </c>
      <c r="L47" s="9">
        <v>0</v>
      </c>
      <c r="M47" s="9">
        <f>'JULY 2023'!M47+'August 2023'!L47</f>
        <v>0</v>
      </c>
      <c r="N47" s="9">
        <f t="shared" si="1"/>
        <v>1.2999999999999998</v>
      </c>
      <c r="O47" s="10">
        <f>'JULY 2023'!T47</f>
        <v>86.18</v>
      </c>
      <c r="P47" s="9">
        <v>0</v>
      </c>
      <c r="Q47" s="9">
        <f>'JULY 2023'!Q47+'August 2023'!P47</f>
        <v>0</v>
      </c>
      <c r="R47" s="9">
        <v>0</v>
      </c>
      <c r="S47" s="9">
        <f>'JULY 2023'!S47+'August 2023'!R47</f>
        <v>0</v>
      </c>
      <c r="T47" s="10">
        <f t="shared" si="2"/>
        <v>86.18</v>
      </c>
      <c r="U47" s="10">
        <f t="shared" si="3"/>
        <v>12393.770000000006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'JULY 2023'!H48</f>
        <v>11112.252000000008</v>
      </c>
      <c r="D48" s="9">
        <v>0.5</v>
      </c>
      <c r="E48" s="9">
        <f>'JULY 2023'!E48+'August 2023'!D48</f>
        <v>5.54</v>
      </c>
      <c r="F48" s="9">
        <v>0</v>
      </c>
      <c r="G48" s="9">
        <f>'JULY 2023'!G48+'August 2023'!F48</f>
        <v>0</v>
      </c>
      <c r="H48" s="9">
        <f t="shared" si="0"/>
        <v>11112.752000000008</v>
      </c>
      <c r="I48" s="9">
        <f>'JULY 2023'!N48</f>
        <v>0</v>
      </c>
      <c r="J48" s="9">
        <v>0</v>
      </c>
      <c r="K48" s="9">
        <f>'JULY 2023'!K48+'August 2023'!J48</f>
        <v>0</v>
      </c>
      <c r="L48" s="9">
        <v>0</v>
      </c>
      <c r="M48" s="9">
        <f>'JULY 2023'!M48+'August 2023'!L48</f>
        <v>0</v>
      </c>
      <c r="N48" s="9">
        <f t="shared" si="1"/>
        <v>0</v>
      </c>
      <c r="O48" s="10">
        <f>'JULY 2023'!T48</f>
        <v>30.53</v>
      </c>
      <c r="P48" s="9">
        <v>0</v>
      </c>
      <c r="Q48" s="9">
        <f>'JULY 2023'!Q48+'August 2023'!P48</f>
        <v>0</v>
      </c>
      <c r="R48" s="9">
        <v>0</v>
      </c>
      <c r="S48" s="9">
        <f>'JULY 2023'!S48+'August 2023'!R48</f>
        <v>0</v>
      </c>
      <c r="T48" s="10">
        <f t="shared" si="2"/>
        <v>30.53</v>
      </c>
      <c r="U48" s="10">
        <f t="shared" si="3"/>
        <v>11143.282000000008</v>
      </c>
      <c r="V48" s="75"/>
      <c r="W48" s="11"/>
    </row>
    <row r="49" spans="1:23" s="16" customFormat="1" ht="42.75" customHeight="1">
      <c r="A49" s="13"/>
      <c r="B49" s="14" t="s">
        <v>57</v>
      </c>
      <c r="C49" s="15">
        <f>'JULY 2023'!H49</f>
        <v>45068.742000000013</v>
      </c>
      <c r="D49" s="15">
        <f t="shared" ref="D49:U49" si="14">SUM(D45:D48)</f>
        <v>19.78</v>
      </c>
      <c r="E49" s="15">
        <f t="shared" si="14"/>
        <v>138.54999999999998</v>
      </c>
      <c r="F49" s="15">
        <f t="shared" si="14"/>
        <v>0</v>
      </c>
      <c r="G49" s="15">
        <f t="shared" si="14"/>
        <v>0</v>
      </c>
      <c r="H49" s="15">
        <f t="shared" si="14"/>
        <v>45088.522000000012</v>
      </c>
      <c r="I49" s="15">
        <f>'JULY 2023'!N49</f>
        <v>9.4499999999999993</v>
      </c>
      <c r="J49" s="15">
        <f t="shared" si="14"/>
        <v>0</v>
      </c>
      <c r="K49" s="15">
        <f t="shared" si="14"/>
        <v>1.48</v>
      </c>
      <c r="L49" s="15">
        <f t="shared" si="14"/>
        <v>0</v>
      </c>
      <c r="M49" s="15">
        <f t="shared" si="14"/>
        <v>0</v>
      </c>
      <c r="N49" s="15">
        <f t="shared" si="14"/>
        <v>9.4499999999999993</v>
      </c>
      <c r="O49" s="41">
        <f>'JULY 2023'!T49</f>
        <v>230.17000000000004</v>
      </c>
      <c r="P49" s="15">
        <f t="shared" si="14"/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  <c r="T49" s="15">
        <f t="shared" si="14"/>
        <v>230.17000000000004</v>
      </c>
      <c r="U49" s="15">
        <f t="shared" si="14"/>
        <v>45328.142000000014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'JULY 2023'!H50</f>
        <v>97051.013000000006</v>
      </c>
      <c r="D50" s="15">
        <f t="shared" ref="D50:U50" si="15">D49+D44</f>
        <v>211.48000000000002</v>
      </c>
      <c r="E50" s="15">
        <f t="shared" si="15"/>
        <v>1150.8</v>
      </c>
      <c r="F50" s="15">
        <f t="shared" si="15"/>
        <v>0</v>
      </c>
      <c r="G50" s="15">
        <f t="shared" si="15"/>
        <v>0</v>
      </c>
      <c r="H50" s="15">
        <f t="shared" si="15"/>
        <v>97262.493000000017</v>
      </c>
      <c r="I50" s="15">
        <f>'JULY 2023'!N50</f>
        <v>236.25</v>
      </c>
      <c r="J50" s="15">
        <f t="shared" si="15"/>
        <v>0</v>
      </c>
      <c r="K50" s="15">
        <f t="shared" si="15"/>
        <v>1.48</v>
      </c>
      <c r="L50" s="15">
        <f t="shared" si="15"/>
        <v>0</v>
      </c>
      <c r="M50" s="15">
        <f t="shared" si="15"/>
        <v>0</v>
      </c>
      <c r="N50" s="15">
        <f t="shared" si="15"/>
        <v>236.25</v>
      </c>
      <c r="O50" s="41">
        <f>'JULY 2023'!T50</f>
        <v>579.73000000000013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579.73000000000013</v>
      </c>
      <c r="U50" s="15">
        <f t="shared" si="15"/>
        <v>98078.473000000027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'JULY 2023'!H51</f>
        <v>177076.223</v>
      </c>
      <c r="D51" s="15">
        <f t="shared" ref="D51:U51" si="16">D50+D39+D25</f>
        <v>1080.528</v>
      </c>
      <c r="E51" s="15">
        <f t="shared" si="16"/>
        <v>5535.0149999999994</v>
      </c>
      <c r="F51" s="15">
        <f t="shared" si="16"/>
        <v>0</v>
      </c>
      <c r="G51" s="15">
        <f t="shared" si="16"/>
        <v>120.55000000000001</v>
      </c>
      <c r="H51" s="37">
        <f t="shared" si="16"/>
        <v>178156.75100000002</v>
      </c>
      <c r="I51" s="15">
        <f>'JULY 2023'!N51</f>
        <v>2926.7080000000005</v>
      </c>
      <c r="J51" s="15">
        <f t="shared" si="16"/>
        <v>19.306999999999999</v>
      </c>
      <c r="K51" s="15">
        <f t="shared" si="16"/>
        <v>129.99600000000001</v>
      </c>
      <c r="L51" s="15">
        <f t="shared" si="16"/>
        <v>0</v>
      </c>
      <c r="M51" s="15">
        <f t="shared" si="16"/>
        <v>0.12</v>
      </c>
      <c r="N51" s="37">
        <f t="shared" si="16"/>
        <v>2946.0150000000003</v>
      </c>
      <c r="O51" s="41">
        <f>'JULY 2023'!T51</f>
        <v>9999.9</v>
      </c>
      <c r="P51" s="15">
        <f t="shared" si="16"/>
        <v>63.929999999999993</v>
      </c>
      <c r="Q51" s="15">
        <f t="shared" si="16"/>
        <v>784.58600000000001</v>
      </c>
      <c r="R51" s="15">
        <f t="shared" si="16"/>
        <v>0</v>
      </c>
      <c r="S51" s="15">
        <f t="shared" si="16"/>
        <v>38.730000000000004</v>
      </c>
      <c r="T51" s="37">
        <f t="shared" si="16"/>
        <v>10063.83</v>
      </c>
      <c r="U51" s="15">
        <f t="shared" si="16"/>
        <v>191166.59599999999</v>
      </c>
      <c r="V51" s="40"/>
      <c r="W51" s="40"/>
    </row>
    <row r="52" spans="1:23" s="21" customFormat="1" ht="42.75" hidden="1" customHeight="1">
      <c r="A52" s="18"/>
      <c r="B52" s="19"/>
      <c r="C52" s="9">
        <f>'[2]Feb 2023'!H52</f>
        <v>0</v>
      </c>
      <c r="D52" s="20"/>
      <c r="E52" s="9">
        <f t="shared" ref="E52:E53" si="17">D52</f>
        <v>0</v>
      </c>
      <c r="F52" s="20"/>
      <c r="G52" s="9">
        <f>'May 2023'!G52+'August 2023'!F52</f>
        <v>0</v>
      </c>
      <c r="H52" s="9">
        <f t="shared" si="0"/>
        <v>0</v>
      </c>
      <c r="I52" s="9">
        <f>'April 2023'!N52</f>
        <v>0</v>
      </c>
      <c r="J52" s="20"/>
      <c r="K52" s="9">
        <f>'JULY 2023'!K52+'August 2023'!J52</f>
        <v>0</v>
      </c>
      <c r="L52" s="20"/>
      <c r="M52" s="9"/>
      <c r="N52" s="20"/>
      <c r="O52" s="20"/>
      <c r="P52" s="20"/>
      <c r="Q52" s="9">
        <f>'JULY 2023'!Q52+'August 2023'!P52</f>
        <v>0</v>
      </c>
      <c r="R52" s="20"/>
      <c r="S52" s="9">
        <f t="shared" ref="S52:S53" si="18">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'[2]Feb 2023'!H53</f>
        <v>0</v>
      </c>
      <c r="D53" s="20"/>
      <c r="E53" s="9">
        <f t="shared" si="17"/>
        <v>0</v>
      </c>
      <c r="F53" s="20"/>
      <c r="G53" s="9">
        <f>'May 2023'!G53+'August 2023'!F53</f>
        <v>0</v>
      </c>
      <c r="H53" s="9">
        <f t="shared" si="0"/>
        <v>0</v>
      </c>
      <c r="I53" s="9">
        <f>'April 2023'!N53</f>
        <v>0</v>
      </c>
      <c r="J53" s="20"/>
      <c r="K53" s="9">
        <f>'JULY 2023'!K53+'August 2023'!J53</f>
        <v>0</v>
      </c>
      <c r="L53" s="20"/>
      <c r="M53" s="9"/>
      <c r="N53" s="20"/>
      <c r="O53" s="20"/>
      <c r="P53" s="22"/>
      <c r="Q53" s="9">
        <f>'JULY 2023'!Q53+'August 2023'!P53</f>
        <v>0</v>
      </c>
      <c r="R53" s="20"/>
      <c r="S53" s="9">
        <f t="shared" si="18"/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9"/>
      <c r="L54" s="20"/>
      <c r="M54" s="22"/>
      <c r="N54" s="20"/>
      <c r="O54" s="20"/>
      <c r="P54" s="22"/>
      <c r="Q54" s="24"/>
      <c r="R54" s="20"/>
      <c r="S54" s="22"/>
      <c r="T54" s="23"/>
      <c r="U54" s="20"/>
      <c r="V54" s="20"/>
      <c r="W54" s="20"/>
    </row>
    <row r="55" spans="1:23" s="43" customFormat="1" ht="30">
      <c r="A55" s="76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1163.7650000000001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6290.1970000000001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191166.59600000002</v>
      </c>
      <c r="I58" s="30"/>
      <c r="J58" s="30"/>
      <c r="K58" s="30"/>
      <c r="L58" s="31"/>
      <c r="M58" s="31"/>
      <c r="N58" s="32" t="e">
        <f>#REF!+'August 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#REF!+'August 2023'!H56</f>
        <v>#REF!</v>
      </c>
      <c r="K59" s="30"/>
      <c r="L59" s="35" t="e">
        <f>#REF!+'August 2023'!H56</f>
        <v>#REF!</v>
      </c>
      <c r="M59" s="30"/>
      <c r="O59" s="11"/>
    </row>
    <row r="60" spans="1:23">
      <c r="B60" s="2"/>
      <c r="G60" s="36"/>
      <c r="O60" s="2"/>
      <c r="U60" s="2"/>
      <c r="V60" s="2"/>
      <c r="W60" s="2"/>
    </row>
  </sheetData>
  <mergeCells count="26">
    <mergeCell ref="D57:G57"/>
    <mergeCell ref="D58:G58"/>
    <mergeCell ref="V26:V27"/>
    <mergeCell ref="V45:V48"/>
    <mergeCell ref="A55:K55"/>
    <mergeCell ref="I5:I6"/>
    <mergeCell ref="J5:K5"/>
    <mergeCell ref="L5:M5"/>
    <mergeCell ref="N5:N6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O5:O6"/>
    <mergeCell ref="P5:Q5"/>
    <mergeCell ref="R5:S5"/>
    <mergeCell ref="T5:T6"/>
    <mergeCell ref="U5:U6"/>
    <mergeCell ref="H5:H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59"/>
  <sheetViews>
    <sheetView topLeftCell="A40" zoomScale="38" zoomScaleNormal="38" zoomScaleSheetLayoutView="25" workbookViewId="0">
      <selection activeCell="A55" sqref="A55:XFD55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70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'August 2023'!H7</f>
        <v>83.970000000000653</v>
      </c>
      <c r="D7" s="9">
        <v>0</v>
      </c>
      <c r="E7" s="9">
        <f>'August 2023'!E7+'Sept 2023'!D7</f>
        <v>0</v>
      </c>
      <c r="F7" s="9">
        <v>0</v>
      </c>
      <c r="G7" s="9">
        <f>'August 2023'!G7+'Sept 2023'!F7</f>
        <v>0</v>
      </c>
      <c r="H7" s="9">
        <f>C7+D7-F7</f>
        <v>83.970000000000653</v>
      </c>
      <c r="I7" s="9">
        <f>'August 2023'!N7</f>
        <v>208.82599999999996</v>
      </c>
      <c r="J7" s="9">
        <v>0.34</v>
      </c>
      <c r="K7" s="9">
        <f>'August 2023'!K7+'Sept 2023'!J7</f>
        <v>34.295000000000009</v>
      </c>
      <c r="L7" s="9">
        <v>0</v>
      </c>
      <c r="M7" s="9">
        <f>'August 2023'!M7+'Sept 2023'!L7</f>
        <v>0</v>
      </c>
      <c r="N7" s="9">
        <f>I7+J7-L7</f>
        <v>209.16599999999997</v>
      </c>
      <c r="O7" s="10">
        <f>'August 2023'!T7</f>
        <v>264.90000000000009</v>
      </c>
      <c r="P7" s="9">
        <v>0</v>
      </c>
      <c r="Q7" s="9">
        <f>'August 2023'!Q7+'Sept 2023'!P7</f>
        <v>0</v>
      </c>
      <c r="R7" s="9">
        <v>0</v>
      </c>
      <c r="S7" s="9">
        <f>'August 2023'!S7+'Sept 2023'!R7</f>
        <v>19.239999999999998</v>
      </c>
      <c r="T7" s="10">
        <f>O7+P7-R7</f>
        <v>264.90000000000009</v>
      </c>
      <c r="U7" s="10">
        <f>H7+N7+T7</f>
        <v>558.03600000000074</v>
      </c>
      <c r="V7" s="11"/>
      <c r="W7" s="11"/>
    </row>
    <row r="8" spans="1:183" ht="42.75" customHeight="1">
      <c r="A8" s="7">
        <v>2</v>
      </c>
      <c r="B8" s="8" t="s">
        <v>15</v>
      </c>
      <c r="C8" s="9">
        <f>'August 2023'!H8</f>
        <v>498.81499999999983</v>
      </c>
      <c r="D8" s="9">
        <v>0.15</v>
      </c>
      <c r="E8" s="9">
        <f>'August 2023'!E8+'Sept 2023'!D8</f>
        <v>1.35</v>
      </c>
      <c r="F8" s="9">
        <v>0</v>
      </c>
      <c r="G8" s="9">
        <f>'August 2023'!G8+'Sept 2023'!F8</f>
        <v>0</v>
      </c>
      <c r="H8" s="9">
        <f t="shared" ref="H8:H53" si="0">C8+D8-F8</f>
        <v>498.9649999999998</v>
      </c>
      <c r="I8" s="9">
        <f>'August 2023'!N8</f>
        <v>152.54599999999999</v>
      </c>
      <c r="J8" s="9">
        <v>4.24</v>
      </c>
      <c r="K8" s="9">
        <f>'August 2023'!K8+'Sept 2023'!J8</f>
        <v>13.879999999999999</v>
      </c>
      <c r="L8" s="9">
        <v>0</v>
      </c>
      <c r="M8" s="9">
        <f>'August 2023'!M8+'Sept 2023'!L8</f>
        <v>0</v>
      </c>
      <c r="N8" s="9">
        <f t="shared" ref="N8:N48" si="1">I8+J8-L8</f>
        <v>156.786</v>
      </c>
      <c r="O8" s="10">
        <f>'August 2023'!T8</f>
        <v>222.27000000000004</v>
      </c>
      <c r="P8" s="9">
        <v>0</v>
      </c>
      <c r="Q8" s="9">
        <f>'August 2023'!Q8+'Sept 2023'!P8</f>
        <v>0</v>
      </c>
      <c r="R8" s="9">
        <v>0</v>
      </c>
      <c r="S8" s="9">
        <f>'August 2023'!S8+'Sept 2023'!R8</f>
        <v>0</v>
      </c>
      <c r="T8" s="10">
        <f t="shared" ref="T8:T48" si="2">O8+P8-R8</f>
        <v>222.27000000000004</v>
      </c>
      <c r="U8" s="10">
        <f t="shared" ref="U8:U48" si="3">H8+N8+T8</f>
        <v>878.02099999999973</v>
      </c>
      <c r="V8" s="11"/>
      <c r="W8" s="11"/>
    </row>
    <row r="9" spans="1:183" ht="42.75" customHeight="1">
      <c r="A9" s="7">
        <v>3</v>
      </c>
      <c r="B9" s="8" t="s">
        <v>16</v>
      </c>
      <c r="C9" s="9">
        <f>'August 2023'!H9</f>
        <v>653.9599999999997</v>
      </c>
      <c r="D9" s="9">
        <v>0</v>
      </c>
      <c r="E9" s="9">
        <f>'August 2023'!E9+'Sept 2023'!D9</f>
        <v>0</v>
      </c>
      <c r="F9" s="9">
        <v>0</v>
      </c>
      <c r="G9" s="9">
        <f>'August 2023'!G9+'Sept 2023'!F9</f>
        <v>0</v>
      </c>
      <c r="H9" s="9">
        <f t="shared" si="0"/>
        <v>653.9599999999997</v>
      </c>
      <c r="I9" s="9">
        <f>'August 2023'!N9</f>
        <v>231.48500000000001</v>
      </c>
      <c r="J9" s="9">
        <v>1.5109999999999999</v>
      </c>
      <c r="K9" s="9">
        <f>'August 2023'!K9+'Sept 2023'!J9</f>
        <v>17.489999999999998</v>
      </c>
      <c r="L9" s="9">
        <v>0</v>
      </c>
      <c r="M9" s="9">
        <f>'August 2023'!M9+'Sept 2023'!L9</f>
        <v>0</v>
      </c>
      <c r="N9" s="9">
        <f t="shared" si="1"/>
        <v>232.99600000000001</v>
      </c>
      <c r="O9" s="10">
        <f>'August 2023'!T9</f>
        <v>566.92999999999984</v>
      </c>
      <c r="P9" s="9">
        <f>43.34+37.8</f>
        <v>81.14</v>
      </c>
      <c r="Q9" s="9">
        <f>'August 2023'!Q9+'Sept 2023'!P9</f>
        <v>381.47999999999996</v>
      </c>
      <c r="R9" s="9">
        <v>0</v>
      </c>
      <c r="S9" s="9">
        <f>'August 2023'!S9+'Sept 2023'!R9</f>
        <v>0</v>
      </c>
      <c r="T9" s="10">
        <f t="shared" si="2"/>
        <v>648.06999999999982</v>
      </c>
      <c r="U9" s="10">
        <f t="shared" si="3"/>
        <v>1535.0259999999994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'August 2023'!H10</f>
        <v>0</v>
      </c>
      <c r="D10" s="9">
        <v>0</v>
      </c>
      <c r="E10" s="9">
        <f>'August 2023'!E10+'Sept 2023'!D10</f>
        <v>0</v>
      </c>
      <c r="F10" s="9">
        <v>0</v>
      </c>
      <c r="G10" s="9">
        <f>'August 2023'!G10+'Sept 2023'!F10</f>
        <v>0</v>
      </c>
      <c r="H10" s="9">
        <f t="shared" si="0"/>
        <v>0</v>
      </c>
      <c r="I10" s="9">
        <f>'August 2023'!N10</f>
        <v>147.74700000000007</v>
      </c>
      <c r="J10" s="9">
        <v>0.05</v>
      </c>
      <c r="K10" s="9">
        <f>'August 2023'!K10+'Sept 2023'!J10</f>
        <v>0.57200000000000006</v>
      </c>
      <c r="L10" s="9">
        <v>0</v>
      </c>
      <c r="M10" s="9">
        <f>'August 2023'!M10+'Sept 2023'!L10</f>
        <v>0</v>
      </c>
      <c r="N10" s="9">
        <f t="shared" si="1"/>
        <v>147.79700000000008</v>
      </c>
      <c r="O10" s="10">
        <f>'August 2023'!T10</f>
        <v>234.27999999999997</v>
      </c>
      <c r="P10" s="9">
        <v>0</v>
      </c>
      <c r="Q10" s="9">
        <f>'August 2023'!Q10+'Sept 2023'!P10</f>
        <v>0</v>
      </c>
      <c r="R10" s="9">
        <v>0</v>
      </c>
      <c r="S10" s="9">
        <f>'August 2023'!S10+'Sept 2023'!R10</f>
        <v>0</v>
      </c>
      <c r="T10" s="10">
        <f t="shared" si="2"/>
        <v>234.27999999999997</v>
      </c>
      <c r="U10" s="10">
        <f t="shared" si="3"/>
        <v>382.07700000000006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'August 2023'!H11</f>
        <v>1236.7450000000003</v>
      </c>
      <c r="D11" s="15">
        <f t="shared" ref="D11:U11" si="4">SUM(D7:D10)</f>
        <v>0.15</v>
      </c>
      <c r="E11" s="15">
        <f t="shared" si="4"/>
        <v>1.35</v>
      </c>
      <c r="F11" s="15">
        <f t="shared" si="4"/>
        <v>0</v>
      </c>
      <c r="G11" s="15">
        <f t="shared" si="4"/>
        <v>0</v>
      </c>
      <c r="H11" s="15">
        <f t="shared" si="4"/>
        <v>1236.895</v>
      </c>
      <c r="I11" s="15">
        <f>'August 2023'!N11</f>
        <v>740.60400000000004</v>
      </c>
      <c r="J11" s="15">
        <f t="shared" si="4"/>
        <v>6.141</v>
      </c>
      <c r="K11" s="15">
        <f t="shared" si="4"/>
        <v>66.237000000000009</v>
      </c>
      <c r="L11" s="15">
        <f t="shared" si="4"/>
        <v>0</v>
      </c>
      <c r="M11" s="15">
        <f t="shared" si="4"/>
        <v>0</v>
      </c>
      <c r="N11" s="15">
        <f t="shared" si="4"/>
        <v>746.74500000000012</v>
      </c>
      <c r="O11" s="41">
        <f>'August 2023'!T11</f>
        <v>1288.3799999999999</v>
      </c>
      <c r="P11" s="15">
        <f t="shared" si="4"/>
        <v>81.14</v>
      </c>
      <c r="Q11" s="15">
        <f t="shared" si="4"/>
        <v>381.47999999999996</v>
      </c>
      <c r="R11" s="15">
        <f t="shared" si="4"/>
        <v>0</v>
      </c>
      <c r="S11" s="15">
        <f t="shared" si="4"/>
        <v>19.239999999999998</v>
      </c>
      <c r="T11" s="15">
        <f t="shared" si="4"/>
        <v>1369.52</v>
      </c>
      <c r="U11" s="15">
        <f t="shared" si="4"/>
        <v>3353.16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'August 2023'!H12</f>
        <v>218.88999999999885</v>
      </c>
      <c r="D12" s="9">
        <v>0</v>
      </c>
      <c r="E12" s="9">
        <f>'August 2023'!E12+'Sept 2023'!D12</f>
        <v>0</v>
      </c>
      <c r="F12" s="9">
        <v>0</v>
      </c>
      <c r="G12" s="9">
        <f>'August 2023'!G12+'Sept 2023'!F12</f>
        <v>0</v>
      </c>
      <c r="H12" s="9">
        <f t="shared" si="0"/>
        <v>218.88999999999885</v>
      </c>
      <c r="I12" s="9">
        <f>'August 2023'!N12</f>
        <v>92.48299999999999</v>
      </c>
      <c r="J12" s="9">
        <v>0.46</v>
      </c>
      <c r="K12" s="9">
        <f>'August 2023'!K12+'Sept 2023'!J12</f>
        <v>3.06</v>
      </c>
      <c r="L12" s="9">
        <v>0</v>
      </c>
      <c r="M12" s="9">
        <f>'August 2023'!M12+'Sept 2023'!L12</f>
        <v>0</v>
      </c>
      <c r="N12" s="9">
        <f t="shared" si="1"/>
        <v>92.942999999999984</v>
      </c>
      <c r="O12" s="10">
        <f>'August 2023'!T12</f>
        <v>1548.3899999999999</v>
      </c>
      <c r="P12" s="9">
        <v>0</v>
      </c>
      <c r="Q12" s="9">
        <f>'August 2023'!Q12+'Sept 2023'!P12</f>
        <v>0.37</v>
      </c>
      <c r="R12" s="9">
        <v>0</v>
      </c>
      <c r="S12" s="9">
        <f>'August 2023'!S12+'Sept 2023'!R12</f>
        <v>0</v>
      </c>
      <c r="T12" s="10">
        <f t="shared" si="2"/>
        <v>1548.3899999999999</v>
      </c>
      <c r="U12" s="10">
        <f t="shared" si="3"/>
        <v>1860.2229999999986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'August 2023'!H13</f>
        <v>1023.7699999999998</v>
      </c>
      <c r="D13" s="9">
        <v>0</v>
      </c>
      <c r="E13" s="9">
        <f>'August 2023'!E13+'Sept 2023'!D13</f>
        <v>0</v>
      </c>
      <c r="F13" s="9">
        <v>0</v>
      </c>
      <c r="G13" s="9">
        <f>'August 2023'!G13+'Sept 2023'!F13</f>
        <v>0</v>
      </c>
      <c r="H13" s="9">
        <f t="shared" si="0"/>
        <v>1023.7699999999998</v>
      </c>
      <c r="I13" s="9">
        <f>'August 2023'!N13</f>
        <v>161.97400000000007</v>
      </c>
      <c r="J13" s="9">
        <v>0.72</v>
      </c>
      <c r="K13" s="9">
        <f>'August 2023'!K13+'Sept 2023'!J13</f>
        <v>5.0299999999999994</v>
      </c>
      <c r="L13" s="9">
        <v>0</v>
      </c>
      <c r="M13" s="9">
        <f>'August 2023'!M13+'Sept 2023'!L13</f>
        <v>0</v>
      </c>
      <c r="N13" s="9">
        <f t="shared" si="1"/>
        <v>162.69400000000007</v>
      </c>
      <c r="O13" s="10">
        <f>'August 2023'!T13</f>
        <v>87.2</v>
      </c>
      <c r="P13" s="9">
        <v>0.03</v>
      </c>
      <c r="Q13" s="9">
        <f>'August 2023'!Q13+'Sept 2023'!P13</f>
        <v>0.03</v>
      </c>
      <c r="R13" s="9">
        <v>0</v>
      </c>
      <c r="S13" s="9">
        <f>'August 2023'!S13+'Sept 2023'!R13</f>
        <v>0</v>
      </c>
      <c r="T13" s="10">
        <f t="shared" si="2"/>
        <v>87.23</v>
      </c>
      <c r="U13" s="10">
        <f t="shared" si="3"/>
        <v>1273.694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'August 2023'!H14</f>
        <v>2084.0799999999995</v>
      </c>
      <c r="D14" s="9">
        <v>0</v>
      </c>
      <c r="E14" s="9">
        <f>'August 2023'!E14+'Sept 2023'!D14</f>
        <v>0</v>
      </c>
      <c r="F14" s="9">
        <v>0</v>
      </c>
      <c r="G14" s="9">
        <f>'August 2023'!G14+'Sept 2023'!F14</f>
        <v>0.5</v>
      </c>
      <c r="H14" s="9">
        <f t="shared" si="0"/>
        <v>2084.0799999999995</v>
      </c>
      <c r="I14" s="9">
        <f>'August 2023'!N14</f>
        <v>215.10400000000001</v>
      </c>
      <c r="J14" s="9">
        <v>1.07</v>
      </c>
      <c r="K14" s="9">
        <f>'August 2023'!K14+'Sept 2023'!J14</f>
        <v>7.04</v>
      </c>
      <c r="L14" s="9">
        <v>0</v>
      </c>
      <c r="M14" s="9">
        <f>'August 2023'!M14+'Sept 2023'!L14</f>
        <v>0</v>
      </c>
      <c r="N14" s="9">
        <f t="shared" si="1"/>
        <v>216.17400000000001</v>
      </c>
      <c r="O14" s="10">
        <f>'August 2023'!T14</f>
        <v>412.60999999999996</v>
      </c>
      <c r="P14" s="9">
        <v>0.09</v>
      </c>
      <c r="Q14" s="9">
        <f>'August 2023'!Q14+'Sept 2023'!P14</f>
        <v>9.120000000000001</v>
      </c>
      <c r="R14" s="9">
        <v>0</v>
      </c>
      <c r="S14" s="9">
        <f>'August 2023'!S14+'Sept 2023'!R14</f>
        <v>0</v>
      </c>
      <c r="T14" s="10">
        <f t="shared" si="2"/>
        <v>412.69999999999993</v>
      </c>
      <c r="U14" s="10">
        <f t="shared" si="3"/>
        <v>2712.9539999999993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'August 2023'!H15</f>
        <v>3326.739999999998</v>
      </c>
      <c r="D15" s="15">
        <f t="shared" ref="D15:U15" si="5">SUM(D12:D14)</f>
        <v>0</v>
      </c>
      <c r="E15" s="15">
        <f t="shared" si="5"/>
        <v>0</v>
      </c>
      <c r="F15" s="15">
        <f t="shared" si="5"/>
        <v>0</v>
      </c>
      <c r="G15" s="15">
        <f t="shared" si="5"/>
        <v>0.5</v>
      </c>
      <c r="H15" s="15">
        <f t="shared" si="5"/>
        <v>3326.739999999998</v>
      </c>
      <c r="I15" s="15">
        <f>'August 2023'!N15</f>
        <v>469.56100000000004</v>
      </c>
      <c r="J15" s="15">
        <f t="shared" si="5"/>
        <v>2.25</v>
      </c>
      <c r="K15" s="15">
        <f t="shared" si="5"/>
        <v>15.129999999999999</v>
      </c>
      <c r="L15" s="15">
        <f t="shared" si="5"/>
        <v>0</v>
      </c>
      <c r="M15" s="15">
        <f t="shared" si="5"/>
        <v>0</v>
      </c>
      <c r="N15" s="15">
        <f t="shared" si="5"/>
        <v>471.81100000000004</v>
      </c>
      <c r="O15" s="41">
        <f>'August 2023'!T15</f>
        <v>2048.1999999999998</v>
      </c>
      <c r="P15" s="15">
        <f t="shared" si="5"/>
        <v>0.12</v>
      </c>
      <c r="Q15" s="15">
        <f t="shared" si="5"/>
        <v>9.5200000000000014</v>
      </c>
      <c r="R15" s="15">
        <f t="shared" si="5"/>
        <v>0</v>
      </c>
      <c r="S15" s="15">
        <f t="shared" si="5"/>
        <v>0</v>
      </c>
      <c r="T15" s="15">
        <f t="shared" si="5"/>
        <v>2048.3199999999997</v>
      </c>
      <c r="U15" s="15">
        <f t="shared" si="5"/>
        <v>5846.8709999999974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'August 2023'!H16</f>
        <v>1321.4319999999993</v>
      </c>
      <c r="D16" s="9">
        <v>0.21</v>
      </c>
      <c r="E16" s="9">
        <f>'August 2023'!E16+'Sept 2023'!D16</f>
        <v>14.31</v>
      </c>
      <c r="F16" s="9">
        <v>0</v>
      </c>
      <c r="G16" s="9">
        <f>'August 2023'!G16+'Sept 2023'!F16</f>
        <v>0</v>
      </c>
      <c r="H16" s="9">
        <f t="shared" si="0"/>
        <v>1321.6419999999994</v>
      </c>
      <c r="I16" s="9">
        <f>'August 2023'!N16</f>
        <v>115.82000000000005</v>
      </c>
      <c r="J16" s="9">
        <v>1.49</v>
      </c>
      <c r="K16" s="9">
        <f>'August 2023'!K16+'Sept 2023'!J16</f>
        <v>3.34</v>
      </c>
      <c r="L16" s="9">
        <v>0</v>
      </c>
      <c r="M16" s="9">
        <f>'August 2023'!M16+'Sept 2023'!L16</f>
        <v>0</v>
      </c>
      <c r="N16" s="9">
        <f t="shared" si="1"/>
        <v>117.31000000000004</v>
      </c>
      <c r="O16" s="10">
        <f>'August 2023'!T16</f>
        <v>969.51900000000012</v>
      </c>
      <c r="P16" s="9">
        <v>2.17</v>
      </c>
      <c r="Q16" s="9">
        <f>'August 2023'!Q16+'Sept 2023'!P16</f>
        <v>96.44</v>
      </c>
      <c r="R16" s="9">
        <v>0</v>
      </c>
      <c r="S16" s="9">
        <f>'August 2023'!S16+'Sept 2023'!R16</f>
        <v>0</v>
      </c>
      <c r="T16" s="10">
        <f t="shared" si="2"/>
        <v>971.68900000000008</v>
      </c>
      <c r="U16" s="10">
        <f t="shared" si="3"/>
        <v>2410.6409999999996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'August 2023'!H17</f>
        <v>236.65399999999988</v>
      </c>
      <c r="D17" s="9">
        <v>0</v>
      </c>
      <c r="E17" s="9">
        <f>'August 2023'!E17+'Sept 2023'!D17</f>
        <v>0</v>
      </c>
      <c r="F17" s="9">
        <v>0</v>
      </c>
      <c r="G17" s="9">
        <f>'August 2023'!G17+'Sept 2023'!F17</f>
        <v>2.7</v>
      </c>
      <c r="H17" s="9">
        <f t="shared" si="0"/>
        <v>236.65399999999988</v>
      </c>
      <c r="I17" s="9">
        <f>'August 2023'!N17</f>
        <v>30.526999999999994</v>
      </c>
      <c r="J17" s="9">
        <v>0.42</v>
      </c>
      <c r="K17" s="9">
        <f>'August 2023'!K17+'Sept 2023'!J17</f>
        <v>1.25</v>
      </c>
      <c r="L17" s="9">
        <v>0</v>
      </c>
      <c r="M17" s="9">
        <f>'August 2023'!M17+'Sept 2023'!L17</f>
        <v>0</v>
      </c>
      <c r="N17" s="9">
        <f t="shared" si="1"/>
        <v>30.946999999999996</v>
      </c>
      <c r="O17" s="10">
        <f>'August 2023'!T17</f>
        <v>501.90100000000001</v>
      </c>
      <c r="P17" s="9">
        <v>0</v>
      </c>
      <c r="Q17" s="9">
        <f>'August 2023'!Q17+'Sept 2023'!P17</f>
        <v>87.36</v>
      </c>
      <c r="R17" s="9">
        <v>0</v>
      </c>
      <c r="S17" s="9">
        <f>'August 2023'!S17+'Sept 2023'!R17</f>
        <v>0</v>
      </c>
      <c r="T17" s="10">
        <f t="shared" si="2"/>
        <v>501.90100000000001</v>
      </c>
      <c r="U17" s="10">
        <f t="shared" si="3"/>
        <v>769.50199999999995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'August 2023'!H18</f>
        <v>478.13499999999931</v>
      </c>
      <c r="D18" s="9">
        <v>0</v>
      </c>
      <c r="E18" s="9">
        <f>'August 2023'!E18+'Sept 2023'!D18</f>
        <v>0</v>
      </c>
      <c r="F18" s="9">
        <v>0</v>
      </c>
      <c r="G18" s="9">
        <f>'August 2023'!G18+'Sept 2023'!F18</f>
        <v>0</v>
      </c>
      <c r="H18" s="9">
        <f t="shared" si="0"/>
        <v>478.13499999999931</v>
      </c>
      <c r="I18" s="9">
        <f>'August 2023'!N18</f>
        <v>16.739999999999988</v>
      </c>
      <c r="J18" s="9">
        <v>0.13</v>
      </c>
      <c r="K18" s="9">
        <f>'August 2023'!K18+'Sept 2023'!J18</f>
        <v>1.85</v>
      </c>
      <c r="L18" s="9">
        <v>0</v>
      </c>
      <c r="M18" s="9">
        <f>'August 2023'!M18+'Sept 2023'!L18</f>
        <v>0.12</v>
      </c>
      <c r="N18" s="9">
        <f t="shared" si="1"/>
        <v>16.869999999999987</v>
      </c>
      <c r="O18" s="10">
        <f>'August 2023'!T18</f>
        <v>481.17799999999994</v>
      </c>
      <c r="P18" s="9">
        <v>0.06</v>
      </c>
      <c r="Q18" s="9">
        <f>'August 2023'!Q18+'Sept 2023'!P18</f>
        <v>0.4</v>
      </c>
      <c r="R18" s="9">
        <v>0</v>
      </c>
      <c r="S18" s="9">
        <f>'August 2023'!S18+'Sept 2023'!R18</f>
        <v>0</v>
      </c>
      <c r="T18" s="10">
        <f t="shared" si="2"/>
        <v>481.23799999999994</v>
      </c>
      <c r="U18" s="10">
        <f t="shared" si="3"/>
        <v>976.24299999999926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'August 2023'!H19</f>
        <v>2036.2209999999986</v>
      </c>
      <c r="D19" s="15">
        <f t="shared" ref="D19:U19" si="6">SUM(D16:D18)</f>
        <v>0.21</v>
      </c>
      <c r="E19" s="15">
        <f t="shared" si="6"/>
        <v>14.31</v>
      </c>
      <c r="F19" s="15">
        <f t="shared" si="6"/>
        <v>0</v>
      </c>
      <c r="G19" s="15">
        <f t="shared" si="6"/>
        <v>2.7</v>
      </c>
      <c r="H19" s="15">
        <f t="shared" si="6"/>
        <v>2036.4309999999987</v>
      </c>
      <c r="I19" s="15">
        <f>'August 2023'!N19</f>
        <v>163.08700000000002</v>
      </c>
      <c r="J19" s="15">
        <f t="shared" si="6"/>
        <v>2.04</v>
      </c>
      <c r="K19" s="15">
        <f t="shared" si="6"/>
        <v>6.4399999999999995</v>
      </c>
      <c r="L19" s="15">
        <f t="shared" si="6"/>
        <v>0</v>
      </c>
      <c r="M19" s="15">
        <f t="shared" si="6"/>
        <v>0.12</v>
      </c>
      <c r="N19" s="15">
        <f t="shared" si="6"/>
        <v>165.12700000000001</v>
      </c>
      <c r="O19" s="41">
        <f>'August 2023'!T19</f>
        <v>1952.598</v>
      </c>
      <c r="P19" s="15">
        <f t="shared" si="6"/>
        <v>2.23</v>
      </c>
      <c r="Q19" s="15">
        <f t="shared" si="6"/>
        <v>184.20000000000002</v>
      </c>
      <c r="R19" s="15">
        <f t="shared" si="6"/>
        <v>0</v>
      </c>
      <c r="S19" s="15">
        <f t="shared" si="6"/>
        <v>0</v>
      </c>
      <c r="T19" s="15">
        <f t="shared" si="6"/>
        <v>1954.828</v>
      </c>
      <c r="U19" s="15">
        <f t="shared" si="6"/>
        <v>4156.3859999999986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'August 2023'!H20</f>
        <v>1024.4549999999992</v>
      </c>
      <c r="D20" s="9">
        <v>0</v>
      </c>
      <c r="E20" s="9">
        <f>'August 2023'!E20+'Sept 2023'!D20</f>
        <v>0</v>
      </c>
      <c r="F20" s="9">
        <v>0</v>
      </c>
      <c r="G20" s="9">
        <f>'August 2023'!G20+'Sept 2023'!F20</f>
        <v>0</v>
      </c>
      <c r="H20" s="9">
        <f t="shared" si="0"/>
        <v>1024.4549999999992</v>
      </c>
      <c r="I20" s="9">
        <f>'August 2023'!N20</f>
        <v>156.90100000000012</v>
      </c>
      <c r="J20" s="9">
        <v>0.18</v>
      </c>
      <c r="K20" s="9">
        <f>'August 2023'!K20+'Sept 2023'!J20</f>
        <v>1.8399999999999999</v>
      </c>
      <c r="L20" s="9">
        <v>0</v>
      </c>
      <c r="M20" s="9">
        <f>'August 2023'!M20+'Sept 2023'!L20</f>
        <v>0</v>
      </c>
      <c r="N20" s="9">
        <f t="shared" si="1"/>
        <v>157.08100000000013</v>
      </c>
      <c r="O20" s="10">
        <f>'August 2023'!T20</f>
        <v>744.10099999999989</v>
      </c>
      <c r="P20" s="9">
        <v>0.5</v>
      </c>
      <c r="Q20" s="9">
        <f>'August 2023'!Q20+'Sept 2023'!P20</f>
        <v>1.88</v>
      </c>
      <c r="R20" s="9">
        <v>0</v>
      </c>
      <c r="S20" s="9">
        <f>'August 2023'!S20+'Sept 2023'!R20</f>
        <v>0</v>
      </c>
      <c r="T20" s="10">
        <f t="shared" si="2"/>
        <v>744.60099999999989</v>
      </c>
      <c r="U20" s="10">
        <f t="shared" si="3"/>
        <v>1926.1369999999993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'August 2023'!H21</f>
        <v>52.019999999999882</v>
      </c>
      <c r="D21" s="9">
        <v>0</v>
      </c>
      <c r="E21" s="9">
        <f>'August 2023'!E21+'Sept 2023'!D21</f>
        <v>0</v>
      </c>
      <c r="F21" s="9">
        <v>0</v>
      </c>
      <c r="G21" s="9">
        <f>'August 2023'!G21+'Sept 2023'!F21</f>
        <v>90.67</v>
      </c>
      <c r="H21" s="9">
        <f t="shared" si="0"/>
        <v>52.019999999999882</v>
      </c>
      <c r="I21" s="9">
        <f>'August 2023'!N21</f>
        <v>56.093000000000018</v>
      </c>
      <c r="J21" s="9">
        <v>0.25</v>
      </c>
      <c r="K21" s="9">
        <f>'August 2023'!K21+'Sept 2023'!J21</f>
        <v>3.5600000000000005</v>
      </c>
      <c r="L21" s="9">
        <v>0</v>
      </c>
      <c r="M21" s="9">
        <f>'August 2023'!M21+'Sept 2023'!L21</f>
        <v>0</v>
      </c>
      <c r="N21" s="9">
        <f t="shared" si="1"/>
        <v>56.343000000000018</v>
      </c>
      <c r="O21" s="10">
        <f>'August 2023'!T21</f>
        <v>314.12999999999994</v>
      </c>
      <c r="P21" s="9">
        <v>0.55000000000000004</v>
      </c>
      <c r="Q21" s="9">
        <f>'August 2023'!Q21+'Sept 2023'!P21</f>
        <v>6.26</v>
      </c>
      <c r="R21" s="9">
        <v>0</v>
      </c>
      <c r="S21" s="9">
        <f>'August 2023'!S21+'Sept 2023'!R21</f>
        <v>2.48</v>
      </c>
      <c r="T21" s="10">
        <f t="shared" si="2"/>
        <v>314.67999999999995</v>
      </c>
      <c r="U21" s="10">
        <f t="shared" si="3"/>
        <v>423.04299999999984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'August 2023'!H22</f>
        <v>27.069999999999879</v>
      </c>
      <c r="D22" s="9">
        <v>0</v>
      </c>
      <c r="E22" s="9">
        <f>'August 2023'!E22+'Sept 2023'!D22</f>
        <v>0</v>
      </c>
      <c r="F22" s="9">
        <v>0</v>
      </c>
      <c r="G22" s="9">
        <f>'August 2023'!G22+'Sept 2023'!F22</f>
        <v>0</v>
      </c>
      <c r="H22" s="9">
        <f t="shared" si="0"/>
        <v>27.069999999999879</v>
      </c>
      <c r="I22" s="9">
        <f>'August 2023'!N22</f>
        <v>15.940000000000005</v>
      </c>
      <c r="J22" s="9">
        <v>0</v>
      </c>
      <c r="K22" s="9">
        <f>'August 2023'!K22+'Sept 2023'!J22</f>
        <v>0</v>
      </c>
      <c r="L22" s="9">
        <v>0</v>
      </c>
      <c r="M22" s="9">
        <f>'August 2023'!M22+'Sept 2023'!L22</f>
        <v>0</v>
      </c>
      <c r="N22" s="9">
        <f t="shared" si="1"/>
        <v>15.940000000000005</v>
      </c>
      <c r="O22" s="10">
        <f>'August 2023'!T22</f>
        <v>776.59999999999968</v>
      </c>
      <c r="P22" s="9">
        <v>0</v>
      </c>
      <c r="Q22" s="9">
        <f>'August 2023'!Q22+'Sept 2023'!P22</f>
        <v>0.56999999999999995</v>
      </c>
      <c r="R22" s="9">
        <v>0</v>
      </c>
      <c r="S22" s="9">
        <f>'August 2023'!S22+'Sept 2023'!R22</f>
        <v>0</v>
      </c>
      <c r="T22" s="10">
        <f t="shared" si="2"/>
        <v>776.59999999999968</v>
      </c>
      <c r="U22" s="10">
        <f t="shared" si="3"/>
        <v>819.60999999999956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'August 2023'!H23</f>
        <v>1142.2419999999997</v>
      </c>
      <c r="D23" s="9">
        <v>3.9</v>
      </c>
      <c r="E23" s="9">
        <f>'August 2023'!E23+'Sept 2023'!D23</f>
        <v>12.94</v>
      </c>
      <c r="F23" s="9">
        <v>0</v>
      </c>
      <c r="G23" s="9">
        <f>'August 2023'!G23+'Sept 2023'!F23</f>
        <v>0</v>
      </c>
      <c r="H23" s="9">
        <f t="shared" si="0"/>
        <v>1146.1419999999998</v>
      </c>
      <c r="I23" s="9">
        <f>'August 2023'!N23</f>
        <v>54.573999999999984</v>
      </c>
      <c r="J23" s="9">
        <v>0.27</v>
      </c>
      <c r="K23" s="9">
        <f>'August 2023'!K23+'Sept 2023'!J23</f>
        <v>4.6399999999999988</v>
      </c>
      <c r="L23" s="9">
        <v>0</v>
      </c>
      <c r="M23" s="9">
        <f>'August 2023'!M23+'Sept 2023'!L23</f>
        <v>0</v>
      </c>
      <c r="N23" s="9">
        <f t="shared" si="1"/>
        <v>54.843999999999987</v>
      </c>
      <c r="O23" s="10">
        <f>'August 2023'!T23</f>
        <v>412.71499999999997</v>
      </c>
      <c r="P23" s="9">
        <v>0.71</v>
      </c>
      <c r="Q23" s="9">
        <f>'August 2023'!Q23+'Sept 2023'!P23</f>
        <v>8.59</v>
      </c>
      <c r="R23" s="9">
        <v>0</v>
      </c>
      <c r="S23" s="9">
        <f>'August 2023'!S23+'Sept 2023'!R23</f>
        <v>0</v>
      </c>
      <c r="T23" s="10">
        <f t="shared" si="2"/>
        <v>413.42499999999995</v>
      </c>
      <c r="U23" s="10">
        <f t="shared" si="3"/>
        <v>1614.4109999999998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'August 2023'!H24</f>
        <v>2245.7869999999989</v>
      </c>
      <c r="D24" s="15">
        <f t="shared" ref="D24:U24" si="7">SUM(D20:D23)</f>
        <v>3.9</v>
      </c>
      <c r="E24" s="15">
        <f t="shared" si="7"/>
        <v>12.94</v>
      </c>
      <c r="F24" s="15">
        <f t="shared" si="7"/>
        <v>0</v>
      </c>
      <c r="G24" s="15">
        <f t="shared" si="7"/>
        <v>90.67</v>
      </c>
      <c r="H24" s="15">
        <f t="shared" si="7"/>
        <v>2249.686999999999</v>
      </c>
      <c r="I24" s="15">
        <f>'August 2023'!N24</f>
        <v>283.50800000000015</v>
      </c>
      <c r="J24" s="15">
        <f t="shared" si="7"/>
        <v>0.7</v>
      </c>
      <c r="K24" s="15">
        <f t="shared" si="7"/>
        <v>10.039999999999999</v>
      </c>
      <c r="L24" s="15">
        <f t="shared" si="7"/>
        <v>0</v>
      </c>
      <c r="M24" s="15">
        <f t="shared" si="7"/>
        <v>0</v>
      </c>
      <c r="N24" s="15">
        <f t="shared" si="7"/>
        <v>284.20800000000014</v>
      </c>
      <c r="O24" s="41">
        <f>'August 2023'!T24</f>
        <v>2247.5459999999994</v>
      </c>
      <c r="P24" s="15">
        <f t="shared" si="7"/>
        <v>1.76</v>
      </c>
      <c r="Q24" s="15">
        <f t="shared" si="7"/>
        <v>17.3</v>
      </c>
      <c r="R24" s="15">
        <f t="shared" si="7"/>
        <v>0</v>
      </c>
      <c r="S24" s="15">
        <f t="shared" si="7"/>
        <v>2.48</v>
      </c>
      <c r="T24" s="15">
        <f t="shared" si="7"/>
        <v>2249.3059999999996</v>
      </c>
      <c r="U24" s="15">
        <f t="shared" si="7"/>
        <v>4783.2009999999982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'August 2023'!H25</f>
        <v>8845.4929999999968</v>
      </c>
      <c r="D25" s="15">
        <f t="shared" ref="D25:U25" si="8">D24+D19+D15+D11</f>
        <v>4.2600000000000007</v>
      </c>
      <c r="E25" s="15">
        <f t="shared" si="8"/>
        <v>28.6</v>
      </c>
      <c r="F25" s="15">
        <f t="shared" si="8"/>
        <v>0</v>
      </c>
      <c r="G25" s="15">
        <f t="shared" si="8"/>
        <v>93.87</v>
      </c>
      <c r="H25" s="15">
        <f t="shared" si="8"/>
        <v>8849.7529999999952</v>
      </c>
      <c r="I25" s="15">
        <f>'August 2023'!N25</f>
        <v>1656.7600000000002</v>
      </c>
      <c r="J25" s="15">
        <f t="shared" si="8"/>
        <v>11.131</v>
      </c>
      <c r="K25" s="15">
        <f t="shared" si="8"/>
        <v>97.847000000000008</v>
      </c>
      <c r="L25" s="15">
        <f t="shared" si="8"/>
        <v>0</v>
      </c>
      <c r="M25" s="15">
        <f t="shared" si="8"/>
        <v>0.12</v>
      </c>
      <c r="N25" s="15">
        <f t="shared" si="8"/>
        <v>1667.8910000000003</v>
      </c>
      <c r="O25" s="41">
        <f>'August 2023'!T25</f>
        <v>7536.7239999999993</v>
      </c>
      <c r="P25" s="15">
        <f t="shared" si="8"/>
        <v>85.25</v>
      </c>
      <c r="Q25" s="15">
        <f t="shared" si="8"/>
        <v>592.5</v>
      </c>
      <c r="R25" s="15">
        <f t="shared" si="8"/>
        <v>0</v>
      </c>
      <c r="S25" s="15">
        <f t="shared" si="8"/>
        <v>21.72</v>
      </c>
      <c r="T25" s="15">
        <f t="shared" si="8"/>
        <v>7621.9740000000002</v>
      </c>
      <c r="U25" s="15">
        <f t="shared" si="8"/>
        <v>18139.617999999995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'August 2023'!H26</f>
        <v>1277.2819999999997</v>
      </c>
      <c r="D26" s="9">
        <v>10.46</v>
      </c>
      <c r="E26" s="9">
        <f>'August 2023'!E26+'Sept 2023'!D26</f>
        <v>49.76</v>
      </c>
      <c r="F26" s="9">
        <v>0</v>
      </c>
      <c r="G26" s="9">
        <f>'August 2023'!G26+'Sept 2023'!F26</f>
        <v>0.02</v>
      </c>
      <c r="H26" s="9">
        <f t="shared" si="0"/>
        <v>1287.7419999999997</v>
      </c>
      <c r="I26" s="9">
        <f>'August 2023'!N26</f>
        <v>0.76</v>
      </c>
      <c r="J26" s="9">
        <v>0</v>
      </c>
      <c r="K26" s="9">
        <f>'August 2023'!K26+'Sept 2023'!J26</f>
        <v>0.65</v>
      </c>
      <c r="L26" s="9">
        <v>0</v>
      </c>
      <c r="M26" s="9">
        <f>'August 2023'!M26+'Sept 2023'!L26</f>
        <v>0</v>
      </c>
      <c r="N26" s="9">
        <f t="shared" si="1"/>
        <v>0.76</v>
      </c>
      <c r="O26" s="10">
        <f>'August 2023'!T26</f>
        <v>206.44000000000003</v>
      </c>
      <c r="P26" s="9">
        <v>0.12</v>
      </c>
      <c r="Q26" s="9">
        <f>'August 2023'!Q26+'Sept 2023'!P26</f>
        <v>2.8299999999999996</v>
      </c>
      <c r="R26" s="9">
        <v>0</v>
      </c>
      <c r="S26" s="9">
        <f>'August 2023'!S26+'Sept 2023'!R26</f>
        <v>0</v>
      </c>
      <c r="T26" s="10">
        <f t="shared" si="2"/>
        <v>206.56000000000003</v>
      </c>
      <c r="U26" s="10">
        <f t="shared" si="3"/>
        <v>1495.0619999999997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'August 2023'!H27</f>
        <v>10461.306999999993</v>
      </c>
      <c r="D27" s="9">
        <v>8.3699999999999992</v>
      </c>
      <c r="E27" s="9">
        <f>'August 2023'!E27+'Sept 2023'!D27</f>
        <v>55.519999999999996</v>
      </c>
      <c r="F27" s="9">
        <v>0</v>
      </c>
      <c r="G27" s="9">
        <f>'August 2023'!G27+'Sept 2023'!F27</f>
        <v>0</v>
      </c>
      <c r="H27" s="9">
        <f t="shared" si="0"/>
        <v>10469.676999999994</v>
      </c>
      <c r="I27" s="9">
        <f>'August 2023'!N27</f>
        <v>422.68499999999995</v>
      </c>
      <c r="J27" s="9">
        <v>1.98</v>
      </c>
      <c r="K27" s="9">
        <f>'August 2023'!K27+'Sept 2023'!J27</f>
        <v>16.23</v>
      </c>
      <c r="L27" s="9">
        <v>0</v>
      </c>
      <c r="M27" s="9">
        <f>'August 2023'!M27+'Sept 2023'!L27</f>
        <v>0</v>
      </c>
      <c r="N27" s="9">
        <f t="shared" si="1"/>
        <v>424.66499999999996</v>
      </c>
      <c r="O27" s="10">
        <f>'August 2023'!T27</f>
        <v>45.190000000000012</v>
      </c>
      <c r="P27" s="9">
        <v>0.31</v>
      </c>
      <c r="Q27" s="9">
        <f>'August 2023'!Q27+'Sept 2023'!P27</f>
        <v>1.9800000000000002</v>
      </c>
      <c r="R27" s="9">
        <v>0</v>
      </c>
      <c r="S27" s="9">
        <f>'August 2023'!S27+'Sept 2023'!R27</f>
        <v>0</v>
      </c>
      <c r="T27" s="10">
        <f t="shared" si="2"/>
        <v>45.500000000000014</v>
      </c>
      <c r="U27" s="10">
        <f t="shared" si="3"/>
        <v>10939.841999999993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'August 2023'!H28</f>
        <v>11738.588999999993</v>
      </c>
      <c r="D28" s="15">
        <f t="shared" ref="D28:U28" si="9">SUM(D26:D27)</f>
        <v>18.829999999999998</v>
      </c>
      <c r="E28" s="15">
        <f t="shared" si="9"/>
        <v>105.28</v>
      </c>
      <c r="F28" s="15">
        <f t="shared" si="9"/>
        <v>0</v>
      </c>
      <c r="G28" s="15">
        <f t="shared" si="9"/>
        <v>0.02</v>
      </c>
      <c r="H28" s="15">
        <f t="shared" si="9"/>
        <v>11757.418999999994</v>
      </c>
      <c r="I28" s="15">
        <f>'August 2023'!N28</f>
        <v>423.44499999999994</v>
      </c>
      <c r="J28" s="15">
        <f t="shared" si="9"/>
        <v>1.98</v>
      </c>
      <c r="K28" s="15">
        <f t="shared" si="9"/>
        <v>16.88</v>
      </c>
      <c r="L28" s="15">
        <f t="shared" si="9"/>
        <v>0</v>
      </c>
      <c r="M28" s="15">
        <f t="shared" si="9"/>
        <v>0</v>
      </c>
      <c r="N28" s="15">
        <f t="shared" si="9"/>
        <v>425.42499999999995</v>
      </c>
      <c r="O28" s="41">
        <f>'August 2023'!T28</f>
        <v>251.63000000000005</v>
      </c>
      <c r="P28" s="15">
        <f t="shared" si="9"/>
        <v>0.43</v>
      </c>
      <c r="Q28" s="15">
        <f t="shared" si="9"/>
        <v>4.8099999999999996</v>
      </c>
      <c r="R28" s="15">
        <f t="shared" si="9"/>
        <v>0</v>
      </c>
      <c r="S28" s="15">
        <f t="shared" si="9"/>
        <v>0</v>
      </c>
      <c r="T28" s="15">
        <f t="shared" si="9"/>
        <v>252.06000000000006</v>
      </c>
      <c r="U28" s="15">
        <f t="shared" si="9"/>
        <v>12434.903999999993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'August 2023'!H29</f>
        <v>4628.8490000000011</v>
      </c>
      <c r="D29" s="9">
        <v>9.11</v>
      </c>
      <c r="E29" s="9">
        <f>'August 2023'!E29+'Sept 2023'!D29</f>
        <v>86.92</v>
      </c>
      <c r="F29" s="9">
        <v>0</v>
      </c>
      <c r="G29" s="9">
        <f>'August 2023'!G29+'Sept 2023'!F29</f>
        <v>0</v>
      </c>
      <c r="H29" s="9">
        <f t="shared" si="0"/>
        <v>4637.9590000000007</v>
      </c>
      <c r="I29" s="9">
        <f>'August 2023'!N29</f>
        <v>185.37</v>
      </c>
      <c r="J29" s="9">
        <v>0</v>
      </c>
      <c r="K29" s="9">
        <f>'August 2023'!K29+'Sept 2023'!J29</f>
        <v>0.67</v>
      </c>
      <c r="L29" s="9">
        <v>0</v>
      </c>
      <c r="M29" s="9">
        <f>'August 2023'!M29+'Sept 2023'!L29</f>
        <v>0</v>
      </c>
      <c r="N29" s="9">
        <f t="shared" si="1"/>
        <v>185.37</v>
      </c>
      <c r="O29" s="10">
        <f>'August 2023'!T29</f>
        <v>673.65599999999995</v>
      </c>
      <c r="P29" s="9">
        <f>0.46+76.67+7.67</f>
        <v>84.8</v>
      </c>
      <c r="Q29" s="9">
        <f>'August 2023'!Q29+'Sept 2023'!P29</f>
        <v>241.18599999999998</v>
      </c>
      <c r="R29" s="9">
        <v>0</v>
      </c>
      <c r="S29" s="9">
        <f>'August 2023'!S29+'Sept 2023'!R29</f>
        <v>0</v>
      </c>
      <c r="T29" s="10">
        <f t="shared" si="2"/>
        <v>758.4559999999999</v>
      </c>
      <c r="U29" s="10">
        <f t="shared" si="3"/>
        <v>5581.7850000000008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'August 2023'!H30</f>
        <v>6524.5570000000016</v>
      </c>
      <c r="D30" s="9">
        <v>9.5350000000000001</v>
      </c>
      <c r="E30" s="9">
        <f>'August 2023'!E30+'Sept 2023'!D30</f>
        <v>83.1</v>
      </c>
      <c r="F30" s="9">
        <v>0</v>
      </c>
      <c r="G30" s="9">
        <f>'August 2023'!G30+'Sept 2023'!F30</f>
        <v>0</v>
      </c>
      <c r="H30" s="9">
        <f t="shared" si="0"/>
        <v>6534.0920000000015</v>
      </c>
      <c r="I30" s="9">
        <f>'August 2023'!N30</f>
        <v>134.70000000000002</v>
      </c>
      <c r="J30" s="9">
        <v>0.23</v>
      </c>
      <c r="K30" s="9">
        <f>'August 2023'!K30+'Sept 2023'!J30</f>
        <v>4.13</v>
      </c>
      <c r="L30" s="9">
        <v>0</v>
      </c>
      <c r="M30" s="9">
        <f>'August 2023'!M30+'Sept 2023'!L30</f>
        <v>0</v>
      </c>
      <c r="N30" s="9">
        <f t="shared" si="1"/>
        <v>134.93</v>
      </c>
      <c r="O30" s="10">
        <f>'August 2023'!T30</f>
        <v>311.12</v>
      </c>
      <c r="P30" s="9">
        <v>0</v>
      </c>
      <c r="Q30" s="9">
        <f>'August 2023'!Q30+'Sept 2023'!P30</f>
        <v>116.33999999999999</v>
      </c>
      <c r="R30" s="9">
        <v>0</v>
      </c>
      <c r="S30" s="9">
        <f>'August 2023'!S30+'Sept 2023'!R30</f>
        <v>0</v>
      </c>
      <c r="T30" s="10">
        <f t="shared" si="2"/>
        <v>311.12</v>
      </c>
      <c r="U30" s="10">
        <f t="shared" si="3"/>
        <v>6980.1420000000016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'August 2023'!H31</f>
        <v>3147.2749999999996</v>
      </c>
      <c r="D31" s="9">
        <v>2.3029999999999999</v>
      </c>
      <c r="E31" s="9">
        <f>'August 2023'!E31+'Sept 2023'!D31</f>
        <v>21.223000000000003</v>
      </c>
      <c r="F31" s="9">
        <v>0</v>
      </c>
      <c r="G31" s="9">
        <f>'August 2023'!G31+'Sept 2023'!F31</f>
        <v>0</v>
      </c>
      <c r="H31" s="9">
        <f t="shared" si="0"/>
        <v>3149.5779999999995</v>
      </c>
      <c r="I31" s="9">
        <f>'August 2023'!N31</f>
        <v>50.180000000000007</v>
      </c>
      <c r="J31" s="9">
        <v>0</v>
      </c>
      <c r="K31" s="9">
        <f>'August 2023'!K31+'Sept 2023'!J31</f>
        <v>0</v>
      </c>
      <c r="L31" s="9">
        <v>0</v>
      </c>
      <c r="M31" s="9">
        <f>'August 2023'!M31+'Sept 2023'!L31</f>
        <v>0</v>
      </c>
      <c r="N31" s="9">
        <f t="shared" si="1"/>
        <v>50.180000000000007</v>
      </c>
      <c r="O31" s="10">
        <f>'August 2023'!T31</f>
        <v>244.44</v>
      </c>
      <c r="P31" s="9">
        <v>0</v>
      </c>
      <c r="Q31" s="9">
        <f>'August 2023'!Q31+'Sept 2023'!P31</f>
        <v>0</v>
      </c>
      <c r="R31" s="9">
        <v>0</v>
      </c>
      <c r="S31" s="9">
        <f>'August 2023'!S31+'Sept 2023'!R31</f>
        <v>0</v>
      </c>
      <c r="T31" s="10">
        <f t="shared" si="2"/>
        <v>244.44</v>
      </c>
      <c r="U31" s="10">
        <f t="shared" si="3"/>
        <v>3444.1979999999994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'August 2023'!H32</f>
        <v>4422.0099999999993</v>
      </c>
      <c r="D32" s="9">
        <v>2.34</v>
      </c>
      <c r="E32" s="9">
        <f>'August 2023'!E32+'Sept 2023'!D32</f>
        <v>23.07</v>
      </c>
      <c r="F32" s="9">
        <v>0</v>
      </c>
      <c r="G32" s="9">
        <f>'August 2023'!G32+'Sept 2023'!F32</f>
        <v>0</v>
      </c>
      <c r="H32" s="9">
        <f t="shared" si="0"/>
        <v>4424.3499999999995</v>
      </c>
      <c r="I32" s="9">
        <f>'August 2023'!N32</f>
        <v>248.70999999999995</v>
      </c>
      <c r="J32" s="9">
        <v>1.98</v>
      </c>
      <c r="K32" s="9">
        <f>'August 2023'!K32+'Sept 2023'!J32</f>
        <v>24.310000000000002</v>
      </c>
      <c r="L32" s="9">
        <v>0</v>
      </c>
      <c r="M32" s="9">
        <f>'August 2023'!M32+'Sept 2023'!L32</f>
        <v>0</v>
      </c>
      <c r="N32" s="9">
        <f t="shared" si="1"/>
        <v>250.68999999999994</v>
      </c>
      <c r="O32" s="10">
        <f>'August 2023'!T32</f>
        <v>243.69999999999996</v>
      </c>
      <c r="P32" s="9">
        <v>0</v>
      </c>
      <c r="Q32" s="9">
        <f>'August 2023'!Q32+'Sept 2023'!P32</f>
        <v>0.05</v>
      </c>
      <c r="R32" s="9">
        <v>0</v>
      </c>
      <c r="S32" s="9">
        <f>'August 2023'!S32+'Sept 2023'!R32</f>
        <v>0</v>
      </c>
      <c r="T32" s="10">
        <f t="shared" si="2"/>
        <v>243.69999999999996</v>
      </c>
      <c r="U32" s="10">
        <f t="shared" si="3"/>
        <v>4918.7399999999989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'August 2023'!H33</f>
        <v>18722.691000000003</v>
      </c>
      <c r="D33" s="15">
        <f t="shared" ref="D33:U33" si="10">SUM(D29:D32)</f>
        <v>23.288</v>
      </c>
      <c r="E33" s="15">
        <f t="shared" si="10"/>
        <v>214.31299999999999</v>
      </c>
      <c r="F33" s="15">
        <f t="shared" si="10"/>
        <v>0</v>
      </c>
      <c r="G33" s="15">
        <f t="shared" si="10"/>
        <v>0</v>
      </c>
      <c r="H33" s="15">
        <f t="shared" si="10"/>
        <v>18745.979000000003</v>
      </c>
      <c r="I33" s="15">
        <f>'August 2023'!N33</f>
        <v>618.96</v>
      </c>
      <c r="J33" s="15">
        <f t="shared" si="10"/>
        <v>2.21</v>
      </c>
      <c r="K33" s="15">
        <f t="shared" si="10"/>
        <v>29.110000000000003</v>
      </c>
      <c r="L33" s="15">
        <f t="shared" si="10"/>
        <v>0</v>
      </c>
      <c r="M33" s="15">
        <f t="shared" si="10"/>
        <v>0</v>
      </c>
      <c r="N33" s="15">
        <f t="shared" si="10"/>
        <v>621.16999999999996</v>
      </c>
      <c r="O33" s="41">
        <f>'August 2023'!T33</f>
        <v>1472.9159999999999</v>
      </c>
      <c r="P33" s="15">
        <f t="shared" si="10"/>
        <v>84.8</v>
      </c>
      <c r="Q33" s="15">
        <f t="shared" si="10"/>
        <v>357.57599999999996</v>
      </c>
      <c r="R33" s="15">
        <f t="shared" si="10"/>
        <v>0</v>
      </c>
      <c r="S33" s="15">
        <f t="shared" si="10"/>
        <v>0</v>
      </c>
      <c r="T33" s="15">
        <f t="shared" si="10"/>
        <v>1557.7160000000001</v>
      </c>
      <c r="U33" s="15">
        <f t="shared" si="10"/>
        <v>20924.865000000002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'August 2023'!H34</f>
        <v>6270.4400000000023</v>
      </c>
      <c r="D34" s="9">
        <f>5.47+20.17</f>
        <v>25.64</v>
      </c>
      <c r="E34" s="9">
        <f>'August 2023'!E34+'Sept 2023'!D34</f>
        <v>194.72000000000003</v>
      </c>
      <c r="F34" s="9">
        <v>0</v>
      </c>
      <c r="G34" s="9">
        <f>'August 2023'!G34+'Sept 2023'!F34</f>
        <v>26.64</v>
      </c>
      <c r="H34" s="9">
        <f t="shared" si="0"/>
        <v>6296.0800000000027</v>
      </c>
      <c r="I34" s="9">
        <f>'August 2023'!N34</f>
        <v>2</v>
      </c>
      <c r="J34" s="9">
        <v>0</v>
      </c>
      <c r="K34" s="9">
        <f>'August 2023'!K34+'Sept 2023'!J34</f>
        <v>0</v>
      </c>
      <c r="L34" s="9">
        <v>0</v>
      </c>
      <c r="M34" s="9">
        <f>'August 2023'!M34+'Sept 2023'!L34</f>
        <v>0</v>
      </c>
      <c r="N34" s="9">
        <f t="shared" si="1"/>
        <v>2</v>
      </c>
      <c r="O34" s="10">
        <f>'August 2023'!T34</f>
        <v>21.87</v>
      </c>
      <c r="P34" s="9">
        <v>0</v>
      </c>
      <c r="Q34" s="9">
        <f>'August 2023'!Q34+'Sept 2023'!P34</f>
        <v>0.18</v>
      </c>
      <c r="R34" s="9">
        <v>0</v>
      </c>
      <c r="S34" s="9">
        <f>'August 2023'!S34+'Sept 2023'!R34</f>
        <v>17.010000000000002</v>
      </c>
      <c r="T34" s="10">
        <f t="shared" si="2"/>
        <v>21.87</v>
      </c>
      <c r="U34" s="10">
        <f t="shared" si="3"/>
        <v>6319.9500000000025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'August 2023'!H35</f>
        <v>7197.6450000000013</v>
      </c>
      <c r="D35" s="9">
        <f>23.37+437.5</f>
        <v>460.87</v>
      </c>
      <c r="E35" s="9">
        <f>'August 2023'!E35+'Sept 2023'!D35</f>
        <v>2748.7499999999995</v>
      </c>
      <c r="F35" s="9">
        <v>0</v>
      </c>
      <c r="G35" s="9">
        <f>'August 2023'!G35+'Sept 2023'!F35</f>
        <v>0</v>
      </c>
      <c r="H35" s="9">
        <f t="shared" si="0"/>
        <v>7658.5150000000012</v>
      </c>
      <c r="I35" s="9">
        <f>'August 2023'!N35</f>
        <v>0.1</v>
      </c>
      <c r="J35" s="9">
        <v>0</v>
      </c>
      <c r="K35" s="9">
        <f>'August 2023'!K35+'Sept 2023'!J35</f>
        <v>0</v>
      </c>
      <c r="L35" s="9">
        <v>0</v>
      </c>
      <c r="M35" s="9">
        <f>'August 2023'!M35+'Sept 2023'!L35</f>
        <v>0</v>
      </c>
      <c r="N35" s="9">
        <f t="shared" si="1"/>
        <v>0.1</v>
      </c>
      <c r="O35" s="10">
        <f>'August 2023'!T35</f>
        <v>125.47000000000001</v>
      </c>
      <c r="P35" s="9">
        <v>0</v>
      </c>
      <c r="Q35" s="9">
        <f>'August 2023'!Q35+'Sept 2023'!P35</f>
        <v>0</v>
      </c>
      <c r="R35" s="9">
        <v>0</v>
      </c>
      <c r="S35" s="9">
        <f>'August 2023'!S35+'Sept 2023'!R35</f>
        <v>0</v>
      </c>
      <c r="T35" s="10">
        <f t="shared" si="2"/>
        <v>125.47000000000001</v>
      </c>
      <c r="U35" s="10">
        <f t="shared" si="3"/>
        <v>7784.0850000000019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'August 2023'!H36</f>
        <v>21072.360000000004</v>
      </c>
      <c r="D36" s="9">
        <f>12.47+305.38</f>
        <v>317.85000000000002</v>
      </c>
      <c r="E36" s="9">
        <f>'August 2023'!E36+'Sept 2023'!D36</f>
        <v>1921.19</v>
      </c>
      <c r="F36" s="9">
        <v>0</v>
      </c>
      <c r="G36" s="9">
        <f>'August 2023'!G36+'Sept 2023'!F36</f>
        <v>0</v>
      </c>
      <c r="H36" s="9">
        <f t="shared" si="0"/>
        <v>21390.210000000003</v>
      </c>
      <c r="I36" s="9">
        <f>'August 2023'!N36</f>
        <v>8.5</v>
      </c>
      <c r="J36" s="9">
        <v>0.26</v>
      </c>
      <c r="K36" s="9">
        <f>'August 2023'!K36+'Sept 2023'!J36</f>
        <v>0.26</v>
      </c>
      <c r="L36" s="9">
        <v>0.26</v>
      </c>
      <c r="M36" s="9">
        <f>'August 2023'!M36+'Sept 2023'!L36</f>
        <v>0.26</v>
      </c>
      <c r="N36" s="9">
        <f t="shared" si="1"/>
        <v>8.5</v>
      </c>
      <c r="O36" s="10">
        <f>'August 2023'!T36</f>
        <v>72.39</v>
      </c>
      <c r="P36" s="9">
        <v>0</v>
      </c>
      <c r="Q36" s="9">
        <f>'August 2023'!Q36+'Sept 2023'!P36</f>
        <v>0</v>
      </c>
      <c r="R36" s="9">
        <v>0</v>
      </c>
      <c r="S36" s="9">
        <f>'August 2023'!S36+'Sept 2023'!R36</f>
        <v>0</v>
      </c>
      <c r="T36" s="10">
        <f t="shared" si="2"/>
        <v>72.39</v>
      </c>
      <c r="U36" s="10">
        <f t="shared" si="3"/>
        <v>21471.100000000002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'August 2023'!H37</f>
        <v>7047.0399999999991</v>
      </c>
      <c r="D37" s="9">
        <v>1.25</v>
      </c>
      <c r="E37" s="9">
        <f>'August 2023'!E37+'Sept 2023'!D37</f>
        <v>23.35</v>
      </c>
      <c r="F37" s="9">
        <v>0</v>
      </c>
      <c r="G37" s="9">
        <f>'August 2023'!G37+'Sept 2023'!F37</f>
        <v>0.02</v>
      </c>
      <c r="H37" s="9">
        <f t="shared" si="0"/>
        <v>7048.2899999999991</v>
      </c>
      <c r="I37" s="9">
        <f>'August 2023'!N37</f>
        <v>0</v>
      </c>
      <c r="J37" s="9">
        <v>0</v>
      </c>
      <c r="K37" s="9">
        <f>'August 2023'!K37+'Sept 2023'!J37</f>
        <v>0</v>
      </c>
      <c r="L37" s="9">
        <v>0</v>
      </c>
      <c r="M37" s="9">
        <f>'August 2023'!M37+'Sept 2023'!L37</f>
        <v>0</v>
      </c>
      <c r="N37" s="9">
        <f t="shared" si="1"/>
        <v>0</v>
      </c>
      <c r="O37" s="10">
        <f>'August 2023'!T37</f>
        <v>3.1</v>
      </c>
      <c r="P37" s="9">
        <v>0</v>
      </c>
      <c r="Q37" s="9">
        <f>'August 2023'!Q37+'Sept 2023'!P37</f>
        <v>0</v>
      </c>
      <c r="R37" s="9">
        <v>0</v>
      </c>
      <c r="S37" s="9">
        <f>'August 2023'!S37+'Sept 2023'!R37</f>
        <v>0</v>
      </c>
      <c r="T37" s="10">
        <f t="shared" si="2"/>
        <v>3.1</v>
      </c>
      <c r="U37" s="10">
        <f t="shared" si="3"/>
        <v>7051.3899999999994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'August 2023'!H38</f>
        <v>41587.485000000008</v>
      </c>
      <c r="D38" s="15">
        <f t="shared" ref="D38:U38" si="11">SUM(D34:D37)</f>
        <v>805.61</v>
      </c>
      <c r="E38" s="15">
        <f t="shared" si="11"/>
        <v>4888.01</v>
      </c>
      <c r="F38" s="15">
        <f t="shared" si="11"/>
        <v>0</v>
      </c>
      <c r="G38" s="15">
        <f t="shared" si="11"/>
        <v>26.66</v>
      </c>
      <c r="H38" s="15">
        <f t="shared" si="11"/>
        <v>42393.095000000008</v>
      </c>
      <c r="I38" s="15">
        <f>'August 2023'!N38</f>
        <v>10.6</v>
      </c>
      <c r="J38" s="15">
        <f t="shared" si="11"/>
        <v>0.26</v>
      </c>
      <c r="K38" s="15">
        <f t="shared" si="11"/>
        <v>0.26</v>
      </c>
      <c r="L38" s="15">
        <f t="shared" si="11"/>
        <v>0.26</v>
      </c>
      <c r="M38" s="15">
        <f t="shared" si="11"/>
        <v>0.26</v>
      </c>
      <c r="N38" s="15">
        <f t="shared" si="11"/>
        <v>10.6</v>
      </c>
      <c r="O38" s="41">
        <f>'August 2023'!T38</f>
        <v>222.83</v>
      </c>
      <c r="P38" s="15">
        <f t="shared" si="11"/>
        <v>0</v>
      </c>
      <c r="Q38" s="15">
        <f t="shared" si="11"/>
        <v>0.18</v>
      </c>
      <c r="R38" s="15">
        <f t="shared" si="11"/>
        <v>0</v>
      </c>
      <c r="S38" s="15">
        <f t="shared" si="11"/>
        <v>17.010000000000002</v>
      </c>
      <c r="T38" s="15">
        <f t="shared" si="11"/>
        <v>222.83</v>
      </c>
      <c r="U38" s="15">
        <f t="shared" si="11"/>
        <v>42626.525000000009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'August 2023'!H39</f>
        <v>72048.764999999999</v>
      </c>
      <c r="D39" s="15">
        <f t="shared" ref="D39:U39" si="12">D38+D33+D28</f>
        <v>847.72800000000007</v>
      </c>
      <c r="E39" s="15">
        <f t="shared" si="12"/>
        <v>5207.6030000000001</v>
      </c>
      <c r="F39" s="15">
        <f t="shared" si="12"/>
        <v>0</v>
      </c>
      <c r="G39" s="15">
        <f t="shared" si="12"/>
        <v>26.68</v>
      </c>
      <c r="H39" s="15">
        <f t="shared" si="12"/>
        <v>72896.493000000002</v>
      </c>
      <c r="I39" s="15">
        <f>'August 2023'!N39</f>
        <v>1053.0050000000001</v>
      </c>
      <c r="J39" s="15">
        <f t="shared" si="12"/>
        <v>4.4499999999999993</v>
      </c>
      <c r="K39" s="15">
        <f t="shared" si="12"/>
        <v>46.25</v>
      </c>
      <c r="L39" s="15">
        <f t="shared" si="12"/>
        <v>0.26</v>
      </c>
      <c r="M39" s="15">
        <f t="shared" si="12"/>
        <v>0.26</v>
      </c>
      <c r="N39" s="15">
        <f t="shared" si="12"/>
        <v>1057.1949999999999</v>
      </c>
      <c r="O39" s="41">
        <f>'August 2023'!T39</f>
        <v>1947.376</v>
      </c>
      <c r="P39" s="15">
        <f t="shared" si="12"/>
        <v>85.23</v>
      </c>
      <c r="Q39" s="15">
        <f t="shared" si="12"/>
        <v>362.56599999999997</v>
      </c>
      <c r="R39" s="15">
        <f t="shared" si="12"/>
        <v>0</v>
      </c>
      <c r="S39" s="15">
        <f t="shared" si="12"/>
        <v>17.010000000000002</v>
      </c>
      <c r="T39" s="15">
        <f t="shared" si="12"/>
        <v>2032.6060000000002</v>
      </c>
      <c r="U39" s="15">
        <f t="shared" si="12"/>
        <v>75986.294000000009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'August 2023'!H40</f>
        <v>13967.158000000003</v>
      </c>
      <c r="D40" s="9">
        <v>6.31</v>
      </c>
      <c r="E40" s="9">
        <f>'August 2023'!E40+'Sept 2023'!D40</f>
        <v>64.22</v>
      </c>
      <c r="F40" s="9">
        <v>0</v>
      </c>
      <c r="G40" s="9">
        <f>'August 2023'!G40+'Sept 2023'!F40</f>
        <v>0</v>
      </c>
      <c r="H40" s="9">
        <f t="shared" si="0"/>
        <v>13973.468000000003</v>
      </c>
      <c r="I40" s="9">
        <f>'August 2023'!N40</f>
        <v>226.8</v>
      </c>
      <c r="J40" s="9">
        <v>0</v>
      </c>
      <c r="K40" s="9">
        <f>'August 2023'!K40+'Sept 2023'!J40</f>
        <v>0</v>
      </c>
      <c r="L40" s="9">
        <v>0</v>
      </c>
      <c r="M40" s="9">
        <f>'August 2023'!M40+'Sept 2023'!L40</f>
        <v>0</v>
      </c>
      <c r="N40" s="9">
        <f t="shared" si="1"/>
        <v>226.8</v>
      </c>
      <c r="O40" s="10">
        <f>'August 2023'!T40</f>
        <v>75.02000000000001</v>
      </c>
      <c r="P40" s="9">
        <v>0</v>
      </c>
      <c r="Q40" s="9">
        <f>'August 2023'!Q40+'Sept 2023'!P40</f>
        <v>0</v>
      </c>
      <c r="R40" s="9">
        <v>0</v>
      </c>
      <c r="S40" s="9">
        <f>'August 2023'!S40+'Sept 2023'!R40</f>
        <v>0</v>
      </c>
      <c r="T40" s="10">
        <f t="shared" si="2"/>
        <v>75.02000000000001</v>
      </c>
      <c r="U40" s="10">
        <f t="shared" si="3"/>
        <v>14275.288000000002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'August 2023'!H41</f>
        <v>10704.685999999994</v>
      </c>
      <c r="D41" s="9">
        <v>1.7</v>
      </c>
      <c r="E41" s="9">
        <f>'August 2023'!E41+'Sept 2023'!D41</f>
        <v>14.149999999999999</v>
      </c>
      <c r="F41" s="9">
        <v>0</v>
      </c>
      <c r="G41" s="9">
        <f>'August 2023'!G41+'Sept 2023'!F41</f>
        <v>0</v>
      </c>
      <c r="H41" s="9">
        <f t="shared" si="0"/>
        <v>10706.385999999995</v>
      </c>
      <c r="I41" s="9">
        <f>'August 2023'!N41</f>
        <v>0</v>
      </c>
      <c r="J41" s="9">
        <v>0</v>
      </c>
      <c r="K41" s="9">
        <f>'August 2023'!K41+'Sept 2023'!J41</f>
        <v>0</v>
      </c>
      <c r="L41" s="9">
        <v>0</v>
      </c>
      <c r="M41" s="9">
        <f>'August 2023'!M41+'Sept 2023'!L41</f>
        <v>0</v>
      </c>
      <c r="N41" s="9">
        <f t="shared" si="1"/>
        <v>0</v>
      </c>
      <c r="O41" s="10">
        <f>'August 2023'!T41</f>
        <v>89.580000000000013</v>
      </c>
      <c r="P41" s="9">
        <v>0</v>
      </c>
      <c r="Q41" s="9">
        <f>'August 2023'!Q41+'Sept 2023'!P41</f>
        <v>0</v>
      </c>
      <c r="R41" s="9">
        <v>0</v>
      </c>
      <c r="S41" s="9">
        <f>'August 2023'!S41+'Sept 2023'!R41</f>
        <v>0</v>
      </c>
      <c r="T41" s="10">
        <f t="shared" si="2"/>
        <v>89.580000000000013</v>
      </c>
      <c r="U41" s="10">
        <f t="shared" si="3"/>
        <v>10795.965999999995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'August 2023'!H42</f>
        <v>24639.664000000004</v>
      </c>
      <c r="D42" s="9">
        <f>12.93+96.87</f>
        <v>109.80000000000001</v>
      </c>
      <c r="E42" s="9">
        <f>'August 2023'!E42+'Sept 2023'!D42</f>
        <v>669.23</v>
      </c>
      <c r="F42" s="9">
        <v>0</v>
      </c>
      <c r="G42" s="9">
        <f>'August 2023'!G42+'Sept 2023'!F42</f>
        <v>0</v>
      </c>
      <c r="H42" s="9">
        <f t="shared" si="0"/>
        <v>24749.464000000004</v>
      </c>
      <c r="I42" s="9">
        <f>'August 2023'!N42</f>
        <v>0</v>
      </c>
      <c r="J42" s="9">
        <v>0</v>
      </c>
      <c r="K42" s="9">
        <f>'August 2023'!K42+'Sept 2023'!J42</f>
        <v>0</v>
      </c>
      <c r="L42" s="9">
        <v>0</v>
      </c>
      <c r="M42" s="9">
        <f>'August 2023'!M42+'Sept 2023'!L42</f>
        <v>0</v>
      </c>
      <c r="N42" s="9">
        <f t="shared" si="1"/>
        <v>0</v>
      </c>
      <c r="O42" s="10">
        <f>'August 2023'!T42</f>
        <v>38.47</v>
      </c>
      <c r="P42" s="9">
        <v>0</v>
      </c>
      <c r="Q42" s="9">
        <f>'August 2023'!Q42+'Sept 2023'!P42</f>
        <v>0</v>
      </c>
      <c r="R42" s="9">
        <v>0</v>
      </c>
      <c r="S42" s="9">
        <f>'August 2023'!S42+'Sept 2023'!R42</f>
        <v>0</v>
      </c>
      <c r="T42" s="10">
        <f t="shared" si="2"/>
        <v>38.47</v>
      </c>
      <c r="U42" s="10">
        <f t="shared" si="3"/>
        <v>24787.934000000005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'August 2023'!H43</f>
        <v>2862.4630000000002</v>
      </c>
      <c r="D43" s="9">
        <f>2.17+55.71</f>
        <v>57.88</v>
      </c>
      <c r="E43" s="9">
        <f>'August 2023'!E43+'Sept 2023'!D43</f>
        <v>440.34</v>
      </c>
      <c r="F43" s="9">
        <v>0</v>
      </c>
      <c r="G43" s="9">
        <f>'August 2023'!G43+'Sept 2023'!F43</f>
        <v>0</v>
      </c>
      <c r="H43" s="9">
        <f t="shared" si="0"/>
        <v>2920.3430000000003</v>
      </c>
      <c r="I43" s="9">
        <f>'August 2023'!N43</f>
        <v>0</v>
      </c>
      <c r="J43" s="9">
        <v>0</v>
      </c>
      <c r="K43" s="9">
        <f>'August 2023'!K43+'Sept 2023'!J43</f>
        <v>0</v>
      </c>
      <c r="L43" s="9">
        <v>0</v>
      </c>
      <c r="M43" s="9">
        <f>'August 2023'!M43+'Sept 2023'!L43</f>
        <v>0</v>
      </c>
      <c r="N43" s="9">
        <f t="shared" si="1"/>
        <v>0</v>
      </c>
      <c r="O43" s="10">
        <f>'August 2023'!T43</f>
        <v>146.49</v>
      </c>
      <c r="P43" s="9">
        <v>0</v>
      </c>
      <c r="Q43" s="9">
        <f>'August 2023'!Q43+'Sept 2023'!P43</f>
        <v>0</v>
      </c>
      <c r="R43" s="9">
        <v>0</v>
      </c>
      <c r="S43" s="9">
        <f>'August 2023'!S43+'Sept 2023'!R43</f>
        <v>0</v>
      </c>
      <c r="T43" s="10">
        <f t="shared" si="2"/>
        <v>146.49</v>
      </c>
      <c r="U43" s="10">
        <f t="shared" si="3"/>
        <v>3066.8330000000005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'August 2023'!H44</f>
        <v>52173.971000000005</v>
      </c>
      <c r="D44" s="15">
        <f t="shared" ref="D44:U44" si="13">SUM(D40:D43)</f>
        <v>175.69000000000003</v>
      </c>
      <c r="E44" s="15">
        <f t="shared" si="13"/>
        <v>1187.94</v>
      </c>
      <c r="F44" s="15">
        <f t="shared" si="13"/>
        <v>0</v>
      </c>
      <c r="G44" s="15">
        <f t="shared" si="13"/>
        <v>0</v>
      </c>
      <c r="H44" s="15">
        <f t="shared" si="13"/>
        <v>52349.661</v>
      </c>
      <c r="I44" s="15">
        <f>'August 2023'!N44</f>
        <v>226.8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3"/>
        <v>226.8</v>
      </c>
      <c r="O44" s="41">
        <f>'August 2023'!T44</f>
        <v>349.56000000000006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3"/>
        <v>0</v>
      </c>
      <c r="T44" s="15">
        <f t="shared" si="13"/>
        <v>349.56000000000006</v>
      </c>
      <c r="U44" s="15">
        <f t="shared" si="13"/>
        <v>52926.021000000001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'August 2023'!H45</f>
        <v>14157.275000000001</v>
      </c>
      <c r="D45" s="9">
        <v>1.27</v>
      </c>
      <c r="E45" s="9">
        <f>'August 2023'!E45+'Sept 2023'!D45</f>
        <v>32.880000000000003</v>
      </c>
      <c r="F45" s="9">
        <v>0</v>
      </c>
      <c r="G45" s="9">
        <f>'August 2023'!G45+'Sept 2023'!F45</f>
        <v>0</v>
      </c>
      <c r="H45" s="9">
        <f t="shared" si="0"/>
        <v>14158.545000000002</v>
      </c>
      <c r="I45" s="9">
        <f>'August 2023'!N45</f>
        <v>8.15</v>
      </c>
      <c r="J45" s="9">
        <v>0</v>
      </c>
      <c r="K45" s="9">
        <f>'August 2023'!K45+'Sept 2023'!J45</f>
        <v>1.48</v>
      </c>
      <c r="L45" s="9">
        <v>0</v>
      </c>
      <c r="M45" s="9">
        <f>'August 2023'!M45+'Sept 2023'!L45</f>
        <v>0</v>
      </c>
      <c r="N45" s="9">
        <f t="shared" si="1"/>
        <v>8.15</v>
      </c>
      <c r="O45" s="10">
        <f>'August 2023'!T45</f>
        <v>105.87000000000002</v>
      </c>
      <c r="P45" s="9">
        <v>0</v>
      </c>
      <c r="Q45" s="9">
        <f>'August 2023'!Q45+'Sept 2023'!P45</f>
        <v>0</v>
      </c>
      <c r="R45" s="9">
        <v>0</v>
      </c>
      <c r="S45" s="9">
        <f>'August 2023'!S45+'Sept 2023'!R45</f>
        <v>0</v>
      </c>
      <c r="T45" s="10">
        <f t="shared" si="2"/>
        <v>105.87000000000002</v>
      </c>
      <c r="U45" s="10">
        <f t="shared" si="3"/>
        <v>14272.565000000002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'August 2023'!H46</f>
        <v>7512.204999999999</v>
      </c>
      <c r="D46" s="9">
        <v>13.06</v>
      </c>
      <c r="E46" s="9">
        <f>'August 2023'!E46+'Sept 2023'!D46</f>
        <v>112.21000000000001</v>
      </c>
      <c r="F46" s="9">
        <v>0</v>
      </c>
      <c r="G46" s="9">
        <f>'August 2023'!G46+'Sept 2023'!F46</f>
        <v>0</v>
      </c>
      <c r="H46" s="9">
        <f t="shared" si="0"/>
        <v>7525.2649999999994</v>
      </c>
      <c r="I46" s="9">
        <f>'August 2023'!N46</f>
        <v>0</v>
      </c>
      <c r="J46" s="9">
        <v>0</v>
      </c>
      <c r="K46" s="9">
        <f>'August 2023'!K46+'Sept 2023'!J46</f>
        <v>0</v>
      </c>
      <c r="L46" s="9">
        <v>0</v>
      </c>
      <c r="M46" s="9">
        <f>'August 2023'!M46+'Sept 2023'!L46</f>
        <v>0</v>
      </c>
      <c r="N46" s="9">
        <f t="shared" si="1"/>
        <v>0</v>
      </c>
      <c r="O46" s="10">
        <f>'August 2023'!T46</f>
        <v>7.5900000000000007</v>
      </c>
      <c r="P46" s="9">
        <v>0</v>
      </c>
      <c r="Q46" s="9">
        <f>'August 2023'!Q46+'Sept 2023'!P46</f>
        <v>0</v>
      </c>
      <c r="R46" s="9">
        <v>0</v>
      </c>
      <c r="S46" s="9">
        <f>'August 2023'!S46+'Sept 2023'!R46</f>
        <v>0</v>
      </c>
      <c r="T46" s="10">
        <f t="shared" si="2"/>
        <v>7.5900000000000007</v>
      </c>
      <c r="U46" s="10">
        <f t="shared" si="3"/>
        <v>7532.8549999999996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'August 2023'!H47</f>
        <v>12306.290000000006</v>
      </c>
      <c r="D47" s="9">
        <v>0.65</v>
      </c>
      <c r="E47" s="9">
        <f>'August 2023'!E47+'Sept 2023'!D47</f>
        <v>2.9</v>
      </c>
      <c r="F47" s="9">
        <v>0</v>
      </c>
      <c r="G47" s="9">
        <f>'August 2023'!G47+'Sept 2023'!F47</f>
        <v>0</v>
      </c>
      <c r="H47" s="9">
        <f t="shared" si="0"/>
        <v>12306.940000000006</v>
      </c>
      <c r="I47" s="9">
        <f>'August 2023'!N47</f>
        <v>1.2999999999999998</v>
      </c>
      <c r="J47" s="9">
        <v>0</v>
      </c>
      <c r="K47" s="9">
        <f>'August 2023'!K47+'Sept 2023'!J47</f>
        <v>0</v>
      </c>
      <c r="L47" s="9">
        <v>0</v>
      </c>
      <c r="M47" s="9">
        <f>'August 2023'!M47+'Sept 2023'!L47</f>
        <v>0</v>
      </c>
      <c r="N47" s="9">
        <f t="shared" si="1"/>
        <v>1.2999999999999998</v>
      </c>
      <c r="O47" s="10">
        <f>'August 2023'!T47</f>
        <v>86.18</v>
      </c>
      <c r="P47" s="9">
        <v>0</v>
      </c>
      <c r="Q47" s="9">
        <f>'August 2023'!Q47+'Sept 2023'!P47</f>
        <v>0</v>
      </c>
      <c r="R47" s="9">
        <v>0</v>
      </c>
      <c r="S47" s="9">
        <f>'August 2023'!S47+'Sept 2023'!R47</f>
        <v>0</v>
      </c>
      <c r="T47" s="10">
        <f t="shared" si="2"/>
        <v>86.18</v>
      </c>
      <c r="U47" s="10">
        <f t="shared" si="3"/>
        <v>12394.420000000006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'August 2023'!H48</f>
        <v>11112.752000000008</v>
      </c>
      <c r="D48" s="9">
        <v>0.15</v>
      </c>
      <c r="E48" s="9">
        <f>'August 2023'!E48+'Sept 2023'!D48</f>
        <v>5.69</v>
      </c>
      <c r="F48" s="9">
        <v>0</v>
      </c>
      <c r="G48" s="9">
        <f>'August 2023'!G48+'Sept 2023'!F48</f>
        <v>0</v>
      </c>
      <c r="H48" s="9">
        <f t="shared" si="0"/>
        <v>11112.902000000007</v>
      </c>
      <c r="I48" s="9">
        <f>'August 2023'!N48</f>
        <v>0</v>
      </c>
      <c r="J48" s="9">
        <v>0</v>
      </c>
      <c r="K48" s="9">
        <f>'August 2023'!K48+'Sept 2023'!J48</f>
        <v>0</v>
      </c>
      <c r="L48" s="9">
        <v>0</v>
      </c>
      <c r="M48" s="9">
        <f>'August 2023'!M48+'Sept 2023'!L48</f>
        <v>0</v>
      </c>
      <c r="N48" s="9">
        <f t="shared" si="1"/>
        <v>0</v>
      </c>
      <c r="O48" s="10">
        <f>'August 2023'!T48</f>
        <v>30.53</v>
      </c>
      <c r="P48" s="9">
        <v>0</v>
      </c>
      <c r="Q48" s="9">
        <f>'August 2023'!Q48+'Sept 2023'!P48</f>
        <v>0</v>
      </c>
      <c r="R48" s="9">
        <v>0</v>
      </c>
      <c r="S48" s="9">
        <f>'August 2023'!S48+'Sept 2023'!R48</f>
        <v>0</v>
      </c>
      <c r="T48" s="10">
        <f t="shared" si="2"/>
        <v>30.53</v>
      </c>
      <c r="U48" s="10">
        <f t="shared" si="3"/>
        <v>11143.432000000008</v>
      </c>
      <c r="V48" s="75"/>
      <c r="W48" s="11"/>
    </row>
    <row r="49" spans="1:23" s="16" customFormat="1" ht="42.75" customHeight="1">
      <c r="A49" s="13"/>
      <c r="B49" s="14" t="s">
        <v>57</v>
      </c>
      <c r="C49" s="15">
        <f>'August 2023'!H49</f>
        <v>45088.522000000012</v>
      </c>
      <c r="D49" s="15">
        <f t="shared" ref="D49:U49" si="14">SUM(D45:D48)</f>
        <v>15.13</v>
      </c>
      <c r="E49" s="15">
        <f t="shared" si="14"/>
        <v>153.68</v>
      </c>
      <c r="F49" s="15">
        <f t="shared" si="14"/>
        <v>0</v>
      </c>
      <c r="G49" s="15">
        <f t="shared" si="14"/>
        <v>0</v>
      </c>
      <c r="H49" s="15">
        <f t="shared" si="14"/>
        <v>45103.652000000016</v>
      </c>
      <c r="I49" s="15">
        <f>'August 2023'!N49</f>
        <v>9.4499999999999993</v>
      </c>
      <c r="J49" s="15">
        <f t="shared" si="14"/>
        <v>0</v>
      </c>
      <c r="K49" s="15">
        <f t="shared" si="14"/>
        <v>1.48</v>
      </c>
      <c r="L49" s="15">
        <f t="shared" si="14"/>
        <v>0</v>
      </c>
      <c r="M49" s="15">
        <f t="shared" si="14"/>
        <v>0</v>
      </c>
      <c r="N49" s="15">
        <f t="shared" si="14"/>
        <v>9.4499999999999993</v>
      </c>
      <c r="O49" s="41">
        <f>'August 2023'!T49</f>
        <v>230.17000000000004</v>
      </c>
      <c r="P49" s="15">
        <f t="shared" si="14"/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  <c r="T49" s="15">
        <f t="shared" si="14"/>
        <v>230.17000000000004</v>
      </c>
      <c r="U49" s="15">
        <f t="shared" si="14"/>
        <v>45343.272000000019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'August 2023'!H50</f>
        <v>97262.493000000017</v>
      </c>
      <c r="D50" s="15">
        <f t="shared" ref="D50:U50" si="15">D49+D44</f>
        <v>190.82000000000002</v>
      </c>
      <c r="E50" s="15">
        <f t="shared" si="15"/>
        <v>1341.6200000000001</v>
      </c>
      <c r="F50" s="15">
        <f t="shared" si="15"/>
        <v>0</v>
      </c>
      <c r="G50" s="15">
        <f t="shared" si="15"/>
        <v>0</v>
      </c>
      <c r="H50" s="15">
        <f t="shared" si="15"/>
        <v>97453.313000000024</v>
      </c>
      <c r="I50" s="15">
        <f>'August 2023'!N50</f>
        <v>236.25</v>
      </c>
      <c r="J50" s="15">
        <f t="shared" si="15"/>
        <v>0</v>
      </c>
      <c r="K50" s="15">
        <f t="shared" si="15"/>
        <v>1.48</v>
      </c>
      <c r="L50" s="15">
        <f t="shared" si="15"/>
        <v>0</v>
      </c>
      <c r="M50" s="15">
        <f t="shared" si="15"/>
        <v>0</v>
      </c>
      <c r="N50" s="15">
        <f t="shared" si="15"/>
        <v>236.25</v>
      </c>
      <c r="O50" s="41">
        <f>'August 2023'!T50</f>
        <v>579.73000000000013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579.73000000000013</v>
      </c>
      <c r="U50" s="15">
        <f t="shared" si="15"/>
        <v>98269.29300000002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'August 2023'!H51</f>
        <v>178156.75100000002</v>
      </c>
      <c r="D51" s="15">
        <f t="shared" ref="D51:U51" si="16">D50+D39+D25</f>
        <v>1042.808</v>
      </c>
      <c r="E51" s="15">
        <f t="shared" si="16"/>
        <v>6577.8230000000003</v>
      </c>
      <c r="F51" s="15">
        <f t="shared" si="16"/>
        <v>0</v>
      </c>
      <c r="G51" s="15">
        <f t="shared" si="16"/>
        <v>120.55000000000001</v>
      </c>
      <c r="H51" s="37">
        <f t="shared" si="16"/>
        <v>179199.55900000004</v>
      </c>
      <c r="I51" s="15">
        <f>'August 2023'!N51</f>
        <v>2946.0150000000003</v>
      </c>
      <c r="J51" s="15">
        <f t="shared" si="16"/>
        <v>15.581</v>
      </c>
      <c r="K51" s="15">
        <f t="shared" si="16"/>
        <v>145.577</v>
      </c>
      <c r="L51" s="15">
        <f t="shared" si="16"/>
        <v>0.26</v>
      </c>
      <c r="M51" s="15">
        <f t="shared" si="16"/>
        <v>0.38</v>
      </c>
      <c r="N51" s="37">
        <f t="shared" si="16"/>
        <v>2961.3360000000002</v>
      </c>
      <c r="O51" s="41">
        <f>'August 2023'!T51</f>
        <v>10063.83</v>
      </c>
      <c r="P51" s="15">
        <f t="shared" si="16"/>
        <v>170.48000000000002</v>
      </c>
      <c r="Q51" s="15">
        <f t="shared" si="16"/>
        <v>955.06600000000003</v>
      </c>
      <c r="R51" s="15">
        <f t="shared" si="16"/>
        <v>0</v>
      </c>
      <c r="S51" s="15">
        <f t="shared" si="16"/>
        <v>38.730000000000004</v>
      </c>
      <c r="T51" s="37">
        <f t="shared" si="16"/>
        <v>10234.310000000001</v>
      </c>
      <c r="U51" s="15">
        <f t="shared" si="16"/>
        <v>192395.20500000002</v>
      </c>
      <c r="V51" s="40"/>
      <c r="W51" s="40"/>
    </row>
    <row r="52" spans="1:23" s="21" customFormat="1" ht="42.75" hidden="1" customHeight="1">
      <c r="A52" s="18"/>
      <c r="B52" s="19"/>
      <c r="C52" s="9">
        <f>'August 2023'!H52</f>
        <v>0</v>
      </c>
      <c r="D52" s="20"/>
      <c r="E52" s="9">
        <f t="shared" ref="E52:E53" si="17">D52</f>
        <v>0</v>
      </c>
      <c r="F52" s="20"/>
      <c r="G52" s="9">
        <f>'May 2023'!G52+'Sept 2023'!F52</f>
        <v>0</v>
      </c>
      <c r="H52" s="9">
        <f t="shared" si="0"/>
        <v>0</v>
      </c>
      <c r="I52" s="9">
        <f>'April 2023'!N52</f>
        <v>0</v>
      </c>
      <c r="J52" s="20"/>
      <c r="K52" s="9">
        <f>'August 2023'!K52+'Sept 2023'!J52</f>
        <v>0</v>
      </c>
      <c r="L52" s="20"/>
      <c r="M52" s="9"/>
      <c r="N52" s="20"/>
      <c r="O52" s="20"/>
      <c r="P52" s="20"/>
      <c r="Q52" s="9">
        <f>'August 2023'!Q52+'Sept 2023'!P52</f>
        <v>0</v>
      </c>
      <c r="R52" s="20"/>
      <c r="S52" s="9">
        <f>'August 2023'!S52+'Sept 2023'!R52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'August 2023'!H53</f>
        <v>0</v>
      </c>
      <c r="D53" s="20"/>
      <c r="E53" s="9">
        <f t="shared" si="17"/>
        <v>0</v>
      </c>
      <c r="F53" s="20"/>
      <c r="G53" s="9">
        <f>'May 2023'!G53+'Sept 2023'!F53</f>
        <v>0</v>
      </c>
      <c r="H53" s="9">
        <f t="shared" si="0"/>
        <v>0</v>
      </c>
      <c r="I53" s="9">
        <f>'April 2023'!N53</f>
        <v>0</v>
      </c>
      <c r="J53" s="20"/>
      <c r="K53" s="9">
        <f>'August 2023'!K53+'Sept 2023'!J53</f>
        <v>0</v>
      </c>
      <c r="L53" s="20"/>
      <c r="M53" s="9"/>
      <c r="N53" s="20"/>
      <c r="O53" s="20"/>
      <c r="P53" s="22"/>
      <c r="Q53" s="9">
        <f>'August 2023'!Q53+'Sept 2023'!P53</f>
        <v>0</v>
      </c>
      <c r="R53" s="20"/>
      <c r="S53" s="9">
        <f>'August 2023'!S53+'Sept 2023'!R53</f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9"/>
      <c r="L54" s="20"/>
      <c r="M54" s="22"/>
      <c r="N54" s="20"/>
      <c r="O54" s="20"/>
      <c r="P54" s="22"/>
      <c r="Q54" s="24"/>
      <c r="R54" s="20"/>
      <c r="S54" s="22"/>
      <c r="T54" s="23"/>
      <c r="U54" s="20"/>
      <c r="V54" s="20"/>
      <c r="W54" s="20"/>
    </row>
    <row r="55" spans="1:23" s="43" customFormat="1" ht="30">
      <c r="A55" s="76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1228.6089999999999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7518.8060000000005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192395.20500000005</v>
      </c>
      <c r="I58" s="30"/>
      <c r="J58" s="30"/>
      <c r="K58" s="30"/>
      <c r="L58" s="31"/>
      <c r="M58" s="31"/>
      <c r="N58" s="32" t="e">
        <f>#REF!+'Sept 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#REF!+'Sept 2023'!H56</f>
        <v>#REF!</v>
      </c>
      <c r="K59" s="30"/>
      <c r="L59" s="35" t="e">
        <f>#REF!+'Sept 2023'!H56</f>
        <v>#REF!</v>
      </c>
      <c r="M59" s="30"/>
      <c r="O59" s="11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D56:G56"/>
    <mergeCell ref="D57:G57"/>
    <mergeCell ref="D58:G58"/>
    <mergeCell ref="P5:Q5"/>
    <mergeCell ref="R5:S5"/>
    <mergeCell ref="A55:K5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59"/>
  <sheetViews>
    <sheetView topLeftCell="A46" zoomScale="50" zoomScaleNormal="50" zoomScaleSheetLayoutView="25" workbookViewId="0">
      <selection activeCell="A55" sqref="A55:XFD55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'Sept 2023'!H7</f>
        <v>83.970000000000653</v>
      </c>
      <c r="D7" s="9">
        <v>0</v>
      </c>
      <c r="E7" s="9">
        <f>'Sept 2023'!E7+'Oct-2023'!D7</f>
        <v>0</v>
      </c>
      <c r="F7" s="9">
        <v>0</v>
      </c>
      <c r="G7" s="9">
        <f>'Sept 2023'!G7+'Oct-2023'!F7</f>
        <v>0</v>
      </c>
      <c r="H7" s="9">
        <f>C7+D7-F7</f>
        <v>83.970000000000653</v>
      </c>
      <c r="I7" s="9">
        <f>'Sept 2023'!N7</f>
        <v>209.16599999999997</v>
      </c>
      <c r="J7" s="9">
        <v>0.65</v>
      </c>
      <c r="K7" s="9">
        <f>'Sept 2023'!K7+'Oct-2023'!J7</f>
        <v>34.945000000000007</v>
      </c>
      <c r="L7" s="9">
        <v>0</v>
      </c>
      <c r="M7" s="9">
        <f>'Sept 2023'!M7+'Oct-2023'!L7</f>
        <v>0</v>
      </c>
      <c r="N7" s="9">
        <f>I7+J7-L7</f>
        <v>209.81599999999997</v>
      </c>
      <c r="O7" s="10">
        <f>'Sept 2023'!T7</f>
        <v>264.90000000000009</v>
      </c>
      <c r="P7" s="9">
        <v>0</v>
      </c>
      <c r="Q7" s="9">
        <f>'Sept 2023'!Q7+'Oct-2023'!P7</f>
        <v>0</v>
      </c>
      <c r="R7" s="9">
        <v>0</v>
      </c>
      <c r="S7" s="9">
        <f>'Sept 2023'!S7+'Oct-2023'!R7</f>
        <v>19.239999999999998</v>
      </c>
      <c r="T7" s="10">
        <f>O7+P7-R7</f>
        <v>264.90000000000009</v>
      </c>
      <c r="U7" s="10">
        <f>H7+N7+T7</f>
        <v>558.68600000000072</v>
      </c>
      <c r="V7" s="11"/>
      <c r="W7" s="11"/>
    </row>
    <row r="8" spans="1:183" ht="42.75" customHeight="1">
      <c r="A8" s="7">
        <v>2</v>
      </c>
      <c r="B8" s="8" t="s">
        <v>15</v>
      </c>
      <c r="C8" s="9">
        <f>'Sept 2023'!H8</f>
        <v>498.9649999999998</v>
      </c>
      <c r="D8" s="9">
        <v>0.33</v>
      </c>
      <c r="E8" s="9">
        <f>'Sept 2023'!E8+'Oct-2023'!D8</f>
        <v>1.6800000000000002</v>
      </c>
      <c r="F8" s="9">
        <v>0</v>
      </c>
      <c r="G8" s="9">
        <f>'Sept 2023'!G8+'Oct-2023'!F8</f>
        <v>0</v>
      </c>
      <c r="H8" s="9">
        <f t="shared" ref="H8:H53" si="0">C8+D8-F8</f>
        <v>499.29499999999979</v>
      </c>
      <c r="I8" s="9">
        <f>'Sept 2023'!N8</f>
        <v>156.786</v>
      </c>
      <c r="J8" s="9">
        <v>0.8</v>
      </c>
      <c r="K8" s="9">
        <f>'Sept 2023'!K8+'Oct-2023'!J8</f>
        <v>14.68</v>
      </c>
      <c r="L8" s="9">
        <v>0</v>
      </c>
      <c r="M8" s="9">
        <f>'Sept 2023'!M8+'Oct-2023'!L8</f>
        <v>0</v>
      </c>
      <c r="N8" s="9">
        <f t="shared" ref="N8:N48" si="1">I8+J8-L8</f>
        <v>157.58600000000001</v>
      </c>
      <c r="O8" s="10">
        <f>'Sept 2023'!T8</f>
        <v>222.27000000000004</v>
      </c>
      <c r="P8" s="9">
        <v>0</v>
      </c>
      <c r="Q8" s="9">
        <f>'Sept 2023'!Q8+'Oct-2023'!P8</f>
        <v>0</v>
      </c>
      <c r="R8" s="9">
        <v>0</v>
      </c>
      <c r="S8" s="9">
        <f>'Sept 2023'!S8+'Oct-2023'!R8</f>
        <v>0</v>
      </c>
      <c r="T8" s="10">
        <f t="shared" ref="T8:T48" si="2">O8+P8-R8</f>
        <v>222.27000000000004</v>
      </c>
      <c r="U8" s="10">
        <f t="shared" ref="U8:U48" si="3">H8+N8+T8</f>
        <v>879.15099999999984</v>
      </c>
      <c r="V8" s="11"/>
      <c r="W8" s="11"/>
    </row>
    <row r="9" spans="1:183" ht="42.75" customHeight="1">
      <c r="A9" s="7">
        <v>3</v>
      </c>
      <c r="B9" s="8" t="s">
        <v>16</v>
      </c>
      <c r="C9" s="9">
        <f>'Sept 2023'!H9</f>
        <v>653.9599999999997</v>
      </c>
      <c r="D9" s="9">
        <v>0</v>
      </c>
      <c r="E9" s="9">
        <f>'Sept 2023'!E9+'Oct-2023'!D9</f>
        <v>0</v>
      </c>
      <c r="F9" s="9">
        <v>0</v>
      </c>
      <c r="G9" s="9">
        <f>'Sept 2023'!G9+'Oct-2023'!F9</f>
        <v>0</v>
      </c>
      <c r="H9" s="9">
        <f t="shared" si="0"/>
        <v>653.9599999999997</v>
      </c>
      <c r="I9" s="9">
        <f>'Sept 2023'!N9</f>
        <v>232.99600000000001</v>
      </c>
      <c r="J9" s="9">
        <v>1.41</v>
      </c>
      <c r="K9" s="9">
        <f>'Sept 2023'!K9+'Oct-2023'!J9</f>
        <v>18.899999999999999</v>
      </c>
      <c r="L9" s="9">
        <v>0</v>
      </c>
      <c r="M9" s="9">
        <f>'Sept 2023'!M9+'Oct-2023'!L9</f>
        <v>0</v>
      </c>
      <c r="N9" s="9">
        <f t="shared" si="1"/>
        <v>234.40600000000001</v>
      </c>
      <c r="O9" s="10">
        <f>'Sept 2023'!T9</f>
        <v>648.06999999999982</v>
      </c>
      <c r="P9" s="9">
        <f>12.5+37.8</f>
        <v>50.3</v>
      </c>
      <c r="Q9" s="9">
        <f>'Sept 2023'!Q9+'Oct-2023'!P9</f>
        <v>431.78</v>
      </c>
      <c r="R9" s="9">
        <v>0</v>
      </c>
      <c r="S9" s="9">
        <f>'Sept 2023'!S9+'Oct-2023'!R9</f>
        <v>0</v>
      </c>
      <c r="T9" s="10">
        <f>O9+P9-R9</f>
        <v>698.36999999999978</v>
      </c>
      <c r="U9" s="10">
        <f t="shared" si="3"/>
        <v>1586.7359999999994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'Sept 2023'!H10</f>
        <v>0</v>
      </c>
      <c r="D10" s="9">
        <v>0</v>
      </c>
      <c r="E10" s="9">
        <f>'Sept 2023'!E10+'Oct-2023'!D10</f>
        <v>0</v>
      </c>
      <c r="F10" s="9">
        <v>0</v>
      </c>
      <c r="G10" s="9">
        <f>'Sept 2023'!G10+'Oct-2023'!F10</f>
        <v>0</v>
      </c>
      <c r="H10" s="9">
        <f t="shared" si="0"/>
        <v>0</v>
      </c>
      <c r="I10" s="9">
        <f>'Sept 2023'!N10</f>
        <v>147.79700000000008</v>
      </c>
      <c r="J10" s="9">
        <v>0.1</v>
      </c>
      <c r="K10" s="9">
        <f>'Sept 2023'!K10+'Oct-2023'!J10</f>
        <v>0.67200000000000004</v>
      </c>
      <c r="L10" s="9">
        <v>0</v>
      </c>
      <c r="M10" s="9">
        <f>'Sept 2023'!M10+'Oct-2023'!L10</f>
        <v>0</v>
      </c>
      <c r="N10" s="9">
        <f t="shared" si="1"/>
        <v>147.89700000000008</v>
      </c>
      <c r="O10" s="10">
        <f>'Sept 2023'!T10</f>
        <v>234.27999999999997</v>
      </c>
      <c r="P10" s="9">
        <v>0</v>
      </c>
      <c r="Q10" s="9">
        <f>'Sept 2023'!Q10+'Oct-2023'!P10</f>
        <v>0</v>
      </c>
      <c r="R10" s="9">
        <v>0</v>
      </c>
      <c r="S10" s="9">
        <f>'Sept 2023'!S10+'Oct-2023'!R10</f>
        <v>0</v>
      </c>
      <c r="T10" s="10">
        <f t="shared" si="2"/>
        <v>234.27999999999997</v>
      </c>
      <c r="U10" s="10">
        <f t="shared" si="3"/>
        <v>382.17700000000002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'Sept 2023'!H11</f>
        <v>1236.895</v>
      </c>
      <c r="D11" s="15">
        <f t="shared" ref="D11:U11" si="4">SUM(D7:D10)</f>
        <v>0.33</v>
      </c>
      <c r="E11" s="15">
        <f t="shared" si="4"/>
        <v>1.6800000000000002</v>
      </c>
      <c r="F11" s="15">
        <f t="shared" si="4"/>
        <v>0</v>
      </c>
      <c r="G11" s="15">
        <f t="shared" si="4"/>
        <v>0</v>
      </c>
      <c r="H11" s="15">
        <f t="shared" si="4"/>
        <v>1237.2250000000001</v>
      </c>
      <c r="I11" s="15">
        <f>'Sept 2023'!N11</f>
        <v>746.74500000000012</v>
      </c>
      <c r="J11" s="15">
        <f t="shared" si="4"/>
        <v>2.9600000000000004</v>
      </c>
      <c r="K11" s="15">
        <f t="shared" si="4"/>
        <v>69.197000000000003</v>
      </c>
      <c r="L11" s="15">
        <f t="shared" si="4"/>
        <v>0</v>
      </c>
      <c r="M11" s="15">
        <f t="shared" si="4"/>
        <v>0</v>
      </c>
      <c r="N11" s="15">
        <f t="shared" si="4"/>
        <v>749.70500000000004</v>
      </c>
      <c r="O11" s="41">
        <f>'Sept 2023'!T11</f>
        <v>1369.52</v>
      </c>
      <c r="P11" s="15">
        <f t="shared" si="4"/>
        <v>50.3</v>
      </c>
      <c r="Q11" s="15">
        <f t="shared" si="4"/>
        <v>431.78</v>
      </c>
      <c r="R11" s="15">
        <f t="shared" si="4"/>
        <v>0</v>
      </c>
      <c r="S11" s="15">
        <f t="shared" si="4"/>
        <v>19.239999999999998</v>
      </c>
      <c r="T11" s="15">
        <f t="shared" si="4"/>
        <v>1419.82</v>
      </c>
      <c r="U11" s="15">
        <f t="shared" si="4"/>
        <v>3406.75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'Sept 2023'!H12</f>
        <v>218.88999999999885</v>
      </c>
      <c r="D12" s="9">
        <v>0</v>
      </c>
      <c r="E12" s="9">
        <f>'Sept 2023'!E12+'Oct-2023'!D12</f>
        <v>0</v>
      </c>
      <c r="F12" s="9">
        <v>0</v>
      </c>
      <c r="G12" s="9">
        <f>'Sept 2023'!G12+'Oct-2023'!F12</f>
        <v>0</v>
      </c>
      <c r="H12" s="9">
        <f t="shared" si="0"/>
        <v>218.88999999999885</v>
      </c>
      <c r="I12" s="9">
        <f>'Sept 2023'!N12</f>
        <v>92.942999999999984</v>
      </c>
      <c r="J12" s="9">
        <v>0.92</v>
      </c>
      <c r="K12" s="9">
        <f>'Sept 2023'!K12+'Oct-2023'!J12</f>
        <v>3.98</v>
      </c>
      <c r="L12" s="9">
        <v>0</v>
      </c>
      <c r="M12" s="9">
        <f>'Sept 2023'!M12+'Oct-2023'!L12</f>
        <v>0</v>
      </c>
      <c r="N12" s="9">
        <f t="shared" si="1"/>
        <v>93.862999999999985</v>
      </c>
      <c r="O12" s="10">
        <f>'Sept 2023'!T12</f>
        <v>1548.3899999999999</v>
      </c>
      <c r="P12" s="9">
        <v>0</v>
      </c>
      <c r="Q12" s="9">
        <f>'Sept 2023'!Q12+'Oct-2023'!P12</f>
        <v>0.37</v>
      </c>
      <c r="R12" s="9">
        <v>0</v>
      </c>
      <c r="S12" s="9">
        <f>'Sept 2023'!S12+'Oct-2023'!R12</f>
        <v>0</v>
      </c>
      <c r="T12" s="10">
        <f t="shared" si="2"/>
        <v>1548.3899999999999</v>
      </c>
      <c r="U12" s="10">
        <f t="shared" si="3"/>
        <v>1861.1429999999987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'Sept 2023'!H13</f>
        <v>1023.7699999999998</v>
      </c>
      <c r="D13" s="9">
        <v>0</v>
      </c>
      <c r="E13" s="9">
        <f>'Sept 2023'!E13+'Oct-2023'!D13</f>
        <v>0</v>
      </c>
      <c r="F13" s="9">
        <v>0</v>
      </c>
      <c r="G13" s="9">
        <f>'Sept 2023'!G13+'Oct-2023'!F13</f>
        <v>0</v>
      </c>
      <c r="H13" s="9">
        <f t="shared" si="0"/>
        <v>1023.7699999999998</v>
      </c>
      <c r="I13" s="9">
        <f>'Sept 2023'!N13</f>
        <v>162.69400000000007</v>
      </c>
      <c r="J13" s="9">
        <v>0.94</v>
      </c>
      <c r="K13" s="9">
        <f>'Sept 2023'!K13+'Oct-2023'!J13</f>
        <v>5.9699999999999989</v>
      </c>
      <c r="L13" s="9">
        <v>0.72</v>
      </c>
      <c r="M13" s="9">
        <f>'Sept 2023'!M13+'Oct-2023'!L13</f>
        <v>0.72</v>
      </c>
      <c r="N13" s="9">
        <f t="shared" si="1"/>
        <v>162.91400000000007</v>
      </c>
      <c r="O13" s="10">
        <f>'Sept 2023'!T13</f>
        <v>87.23</v>
      </c>
      <c r="P13" s="9">
        <v>0</v>
      </c>
      <c r="Q13" s="9">
        <f>'Sept 2023'!Q13+'Oct-2023'!P13</f>
        <v>0.03</v>
      </c>
      <c r="R13" s="9">
        <v>0</v>
      </c>
      <c r="S13" s="9">
        <f>'Sept 2023'!S13+'Oct-2023'!R13</f>
        <v>0</v>
      </c>
      <c r="T13" s="10">
        <f t="shared" si="2"/>
        <v>87.23</v>
      </c>
      <c r="U13" s="10">
        <f t="shared" si="3"/>
        <v>1273.9139999999998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'Sept 2023'!H14</f>
        <v>2084.0799999999995</v>
      </c>
      <c r="D14" s="9">
        <v>0</v>
      </c>
      <c r="E14" s="9">
        <f>'Sept 2023'!E14+'Oct-2023'!D14</f>
        <v>0</v>
      </c>
      <c r="F14" s="9">
        <v>0</v>
      </c>
      <c r="G14" s="9">
        <f>'Sept 2023'!G14+'Oct-2023'!F14</f>
        <v>0.5</v>
      </c>
      <c r="H14" s="9">
        <f t="shared" si="0"/>
        <v>2084.0799999999995</v>
      </c>
      <c r="I14" s="9">
        <f>'Sept 2023'!N14</f>
        <v>216.17400000000001</v>
      </c>
      <c r="J14" s="9">
        <v>1.01</v>
      </c>
      <c r="K14" s="9">
        <f>'Sept 2023'!K14+'Oct-2023'!J14</f>
        <v>8.0500000000000007</v>
      </c>
      <c r="L14" s="9">
        <v>8.2799999999999994</v>
      </c>
      <c r="M14" s="9">
        <f>'Sept 2023'!M14+'Oct-2023'!L14</f>
        <v>8.2799999999999994</v>
      </c>
      <c r="N14" s="9">
        <f t="shared" si="1"/>
        <v>208.904</v>
      </c>
      <c r="O14" s="10">
        <f>'Sept 2023'!T14</f>
        <v>412.69999999999993</v>
      </c>
      <c r="P14" s="9">
        <v>0.09</v>
      </c>
      <c r="Q14" s="9">
        <f>'Sept 2023'!Q14+'Oct-2023'!P14</f>
        <v>9.2100000000000009</v>
      </c>
      <c r="R14" s="9">
        <v>0</v>
      </c>
      <c r="S14" s="9">
        <f>'Sept 2023'!S14+'Oct-2023'!R14</f>
        <v>0</v>
      </c>
      <c r="T14" s="10">
        <f t="shared" si="2"/>
        <v>412.78999999999991</v>
      </c>
      <c r="U14" s="10">
        <f t="shared" si="3"/>
        <v>2705.7739999999994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'Sept 2023'!H15</f>
        <v>3326.739999999998</v>
      </c>
      <c r="D15" s="15">
        <f t="shared" ref="D15:U15" si="5">SUM(D12:D14)</f>
        <v>0</v>
      </c>
      <c r="E15" s="15">
        <f t="shared" si="5"/>
        <v>0</v>
      </c>
      <c r="F15" s="15">
        <f t="shared" si="5"/>
        <v>0</v>
      </c>
      <c r="G15" s="15">
        <f t="shared" si="5"/>
        <v>0.5</v>
      </c>
      <c r="H15" s="15">
        <f t="shared" si="5"/>
        <v>3326.739999999998</v>
      </c>
      <c r="I15" s="15">
        <f>'Sept 2023'!N15</f>
        <v>471.81100000000004</v>
      </c>
      <c r="J15" s="15">
        <f t="shared" si="5"/>
        <v>2.87</v>
      </c>
      <c r="K15" s="15">
        <f t="shared" si="5"/>
        <v>18</v>
      </c>
      <c r="L15" s="15">
        <f t="shared" si="5"/>
        <v>9</v>
      </c>
      <c r="M15" s="15">
        <f t="shared" si="5"/>
        <v>9</v>
      </c>
      <c r="N15" s="15">
        <f t="shared" si="5"/>
        <v>465.68100000000004</v>
      </c>
      <c r="O15" s="41">
        <f>'Sept 2023'!T15</f>
        <v>2048.3199999999997</v>
      </c>
      <c r="P15" s="15">
        <f t="shared" si="5"/>
        <v>0.09</v>
      </c>
      <c r="Q15" s="15">
        <f t="shared" si="5"/>
        <v>9.6100000000000012</v>
      </c>
      <c r="R15" s="15">
        <f t="shared" si="5"/>
        <v>0</v>
      </c>
      <c r="S15" s="15">
        <f t="shared" si="5"/>
        <v>0</v>
      </c>
      <c r="T15" s="15">
        <f t="shared" si="5"/>
        <v>2048.41</v>
      </c>
      <c r="U15" s="15">
        <f t="shared" si="5"/>
        <v>5840.8309999999983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'Sept 2023'!H16</f>
        <v>1321.6419999999994</v>
      </c>
      <c r="D16" s="9">
        <v>0.62</v>
      </c>
      <c r="E16" s="9">
        <f>'Sept 2023'!E16+'Oct-2023'!D16</f>
        <v>14.93</v>
      </c>
      <c r="F16" s="9">
        <v>0</v>
      </c>
      <c r="G16" s="9">
        <f>'Sept 2023'!G16+'Oct-2023'!F16</f>
        <v>0</v>
      </c>
      <c r="H16" s="9">
        <f t="shared" si="0"/>
        <v>1322.2619999999993</v>
      </c>
      <c r="I16" s="9">
        <f>'Sept 2023'!N16</f>
        <v>117.31000000000004</v>
      </c>
      <c r="J16" s="9">
        <v>0.25</v>
      </c>
      <c r="K16" s="9">
        <f>'Sept 2023'!K16+'Oct-2023'!J16</f>
        <v>3.59</v>
      </c>
      <c r="L16" s="9">
        <v>0</v>
      </c>
      <c r="M16" s="9">
        <f>'Sept 2023'!M16+'Oct-2023'!L16</f>
        <v>0</v>
      </c>
      <c r="N16" s="9">
        <f t="shared" si="1"/>
        <v>117.56000000000004</v>
      </c>
      <c r="O16" s="10">
        <f>'Sept 2023'!T16</f>
        <v>971.68900000000008</v>
      </c>
      <c r="P16" s="9">
        <v>0.63</v>
      </c>
      <c r="Q16" s="9">
        <f>'Sept 2023'!Q16+'Oct-2023'!P16</f>
        <v>97.07</v>
      </c>
      <c r="R16" s="9">
        <v>0</v>
      </c>
      <c r="S16" s="9">
        <f>'Sept 2023'!S16+'Oct-2023'!R16</f>
        <v>0</v>
      </c>
      <c r="T16" s="9">
        <f t="shared" si="2"/>
        <v>972.31900000000007</v>
      </c>
      <c r="U16" s="10">
        <f t="shared" si="3"/>
        <v>2412.1409999999992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'Sept 2023'!H17</f>
        <v>236.65399999999988</v>
      </c>
      <c r="D17" s="9">
        <v>0</v>
      </c>
      <c r="E17" s="9">
        <f>'Sept 2023'!E17+'Oct-2023'!D17</f>
        <v>0</v>
      </c>
      <c r="F17" s="9">
        <v>0</v>
      </c>
      <c r="G17" s="9">
        <f>'Sept 2023'!G17+'Oct-2023'!F17</f>
        <v>2.7</v>
      </c>
      <c r="H17" s="9">
        <f t="shared" si="0"/>
        <v>236.65399999999988</v>
      </c>
      <c r="I17" s="9">
        <f>'Sept 2023'!N17</f>
        <v>30.946999999999996</v>
      </c>
      <c r="J17" s="9">
        <v>0.28999999999999998</v>
      </c>
      <c r="K17" s="9">
        <f>'Sept 2023'!K17+'Oct-2023'!J17</f>
        <v>1.54</v>
      </c>
      <c r="L17" s="9">
        <v>0</v>
      </c>
      <c r="M17" s="9">
        <f>'Sept 2023'!M17+'Oct-2023'!L17</f>
        <v>0</v>
      </c>
      <c r="N17" s="9">
        <f t="shared" si="1"/>
        <v>31.236999999999995</v>
      </c>
      <c r="O17" s="10">
        <f>'Sept 2023'!T17</f>
        <v>501.90100000000001</v>
      </c>
      <c r="P17" s="9">
        <v>0</v>
      </c>
      <c r="Q17" s="9">
        <f>'Sept 2023'!Q17+'Oct-2023'!P17</f>
        <v>87.36</v>
      </c>
      <c r="R17" s="9">
        <v>0</v>
      </c>
      <c r="S17" s="9">
        <f>'Sept 2023'!S17+'Oct-2023'!R17</f>
        <v>0</v>
      </c>
      <c r="T17" s="9">
        <f t="shared" si="2"/>
        <v>501.90100000000001</v>
      </c>
      <c r="U17" s="10">
        <f t="shared" si="3"/>
        <v>769.79199999999992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'Sept 2023'!H18</f>
        <v>478.13499999999931</v>
      </c>
      <c r="D18" s="9">
        <v>0</v>
      </c>
      <c r="E18" s="9">
        <f>'Sept 2023'!E18+'Oct-2023'!D18</f>
        <v>0</v>
      </c>
      <c r="F18" s="9">
        <v>0</v>
      </c>
      <c r="G18" s="9">
        <f>'Sept 2023'!G18+'Oct-2023'!F18</f>
        <v>0</v>
      </c>
      <c r="H18" s="9">
        <f t="shared" si="0"/>
        <v>478.13499999999931</v>
      </c>
      <c r="I18" s="9">
        <f>'Sept 2023'!N18</f>
        <v>16.869999999999987</v>
      </c>
      <c r="J18" s="9">
        <v>1.58</v>
      </c>
      <c r="K18" s="9">
        <f>'Sept 2023'!K18+'Oct-2023'!J18</f>
        <v>3.43</v>
      </c>
      <c r="L18" s="9">
        <v>1.34</v>
      </c>
      <c r="M18" s="9">
        <f>'Sept 2023'!M18+'Oct-2023'!L18</f>
        <v>1.46</v>
      </c>
      <c r="N18" s="9">
        <f t="shared" si="1"/>
        <v>17.109999999999989</v>
      </c>
      <c r="O18" s="10">
        <f>'Sept 2023'!T18</f>
        <v>481.23799999999994</v>
      </c>
      <c r="P18" s="9">
        <v>0.67</v>
      </c>
      <c r="Q18" s="9">
        <f>'Sept 2023'!Q18+'Oct-2023'!P18</f>
        <v>1.07</v>
      </c>
      <c r="R18" s="9">
        <v>0.7</v>
      </c>
      <c r="S18" s="9">
        <f>'Sept 2023'!S18+'Oct-2023'!R18</f>
        <v>0.7</v>
      </c>
      <c r="T18" s="9">
        <f t="shared" si="2"/>
        <v>481.20799999999997</v>
      </c>
      <c r="U18" s="10">
        <f t="shared" si="3"/>
        <v>976.45299999999929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'Sept 2023'!H19</f>
        <v>2036.4309999999987</v>
      </c>
      <c r="D19" s="15">
        <f t="shared" ref="D19:U19" si="6">SUM(D16:D18)</f>
        <v>0.62</v>
      </c>
      <c r="E19" s="15">
        <f t="shared" si="6"/>
        <v>14.93</v>
      </c>
      <c r="F19" s="15">
        <f t="shared" si="6"/>
        <v>0</v>
      </c>
      <c r="G19" s="15">
        <f t="shared" si="6"/>
        <v>2.7</v>
      </c>
      <c r="H19" s="15">
        <f t="shared" si="6"/>
        <v>2037.0509999999986</v>
      </c>
      <c r="I19" s="15">
        <f>'Sept 2023'!N19</f>
        <v>165.12700000000001</v>
      </c>
      <c r="J19" s="15">
        <f t="shared" si="6"/>
        <v>2.12</v>
      </c>
      <c r="K19" s="15">
        <f t="shared" si="6"/>
        <v>8.56</v>
      </c>
      <c r="L19" s="15">
        <f t="shared" si="6"/>
        <v>1.34</v>
      </c>
      <c r="M19" s="15">
        <f t="shared" si="6"/>
        <v>1.46</v>
      </c>
      <c r="N19" s="15">
        <f t="shared" si="6"/>
        <v>165.90700000000001</v>
      </c>
      <c r="O19" s="41">
        <f>'Sept 2023'!T19</f>
        <v>1954.828</v>
      </c>
      <c r="P19" s="15">
        <f t="shared" si="6"/>
        <v>1.3</v>
      </c>
      <c r="Q19" s="15">
        <f t="shared" si="6"/>
        <v>185.5</v>
      </c>
      <c r="R19" s="15">
        <f t="shared" si="6"/>
        <v>0.7</v>
      </c>
      <c r="S19" s="15">
        <f t="shared" si="6"/>
        <v>0.7</v>
      </c>
      <c r="T19" s="15">
        <f t="shared" si="6"/>
        <v>1955.4279999999999</v>
      </c>
      <c r="U19" s="15">
        <f t="shared" si="6"/>
        <v>4158.3859999999986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'Sept 2023'!H20</f>
        <v>1024.4549999999992</v>
      </c>
      <c r="D20" s="9">
        <v>0</v>
      </c>
      <c r="E20" s="9">
        <f>'Sept 2023'!E20+'Oct-2023'!D20</f>
        <v>0</v>
      </c>
      <c r="F20" s="9">
        <v>0</v>
      </c>
      <c r="G20" s="9">
        <f>'Sept 2023'!G20+'Oct-2023'!F20</f>
        <v>0</v>
      </c>
      <c r="H20" s="9">
        <f t="shared" si="0"/>
        <v>1024.4549999999992</v>
      </c>
      <c r="I20" s="9">
        <f>'Sept 2023'!N20</f>
        <v>157.08100000000013</v>
      </c>
      <c r="J20" s="9">
        <v>0.18</v>
      </c>
      <c r="K20" s="9">
        <f>'Sept 2023'!K20+'Oct-2023'!J20</f>
        <v>2.02</v>
      </c>
      <c r="L20" s="9">
        <v>0</v>
      </c>
      <c r="M20" s="9">
        <f>'Sept 2023'!M20+'Oct-2023'!L20</f>
        <v>0</v>
      </c>
      <c r="N20" s="9">
        <f t="shared" si="1"/>
        <v>157.26100000000014</v>
      </c>
      <c r="O20" s="10">
        <f>'Sept 2023'!T20</f>
        <v>744.60099999999989</v>
      </c>
      <c r="P20" s="9">
        <v>0.02</v>
      </c>
      <c r="Q20" s="9">
        <f>'Sept 2023'!Q20+'Oct-2023'!P20</f>
        <v>1.9</v>
      </c>
      <c r="R20" s="9">
        <v>0</v>
      </c>
      <c r="S20" s="9">
        <f>'Sept 2023'!S20+'Oct-2023'!R20</f>
        <v>0</v>
      </c>
      <c r="T20" s="10">
        <f t="shared" si="2"/>
        <v>744.62099999999987</v>
      </c>
      <c r="U20" s="10">
        <f t="shared" si="3"/>
        <v>1926.3369999999993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'Sept 2023'!H21</f>
        <v>52.019999999999882</v>
      </c>
      <c r="D21" s="9">
        <v>0</v>
      </c>
      <c r="E21" s="9">
        <f>'Sept 2023'!E21+'Oct-2023'!D21</f>
        <v>0</v>
      </c>
      <c r="F21" s="9">
        <v>0</v>
      </c>
      <c r="G21" s="9">
        <f>'Sept 2023'!G21+'Oct-2023'!F21</f>
        <v>90.67</v>
      </c>
      <c r="H21" s="9">
        <f t="shared" si="0"/>
        <v>52.019999999999882</v>
      </c>
      <c r="I21" s="9">
        <f>'Sept 2023'!N21</f>
        <v>56.343000000000018</v>
      </c>
      <c r="J21" s="9">
        <v>0.11</v>
      </c>
      <c r="K21" s="9">
        <f>'Sept 2023'!K21+'Oct-2023'!J21</f>
        <v>3.6700000000000004</v>
      </c>
      <c r="L21" s="9">
        <v>0</v>
      </c>
      <c r="M21" s="9">
        <f>'Sept 2023'!M21+'Oct-2023'!L21</f>
        <v>0</v>
      </c>
      <c r="N21" s="9">
        <f t="shared" si="1"/>
        <v>56.453000000000017</v>
      </c>
      <c r="O21" s="10">
        <f>'Sept 2023'!T21</f>
        <v>314.67999999999995</v>
      </c>
      <c r="P21" s="9">
        <v>0.55000000000000004</v>
      </c>
      <c r="Q21" s="9">
        <f>'Sept 2023'!Q21+'Oct-2023'!P21</f>
        <v>6.81</v>
      </c>
      <c r="R21" s="9">
        <v>0</v>
      </c>
      <c r="S21" s="9">
        <f>'Sept 2023'!S21+'Oct-2023'!R21</f>
        <v>2.48</v>
      </c>
      <c r="T21" s="10">
        <f t="shared" si="2"/>
        <v>315.22999999999996</v>
      </c>
      <c r="U21" s="10">
        <f t="shared" si="3"/>
        <v>423.70299999999986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'Sept 2023'!H22</f>
        <v>27.069999999999879</v>
      </c>
      <c r="D22" s="9">
        <v>0</v>
      </c>
      <c r="E22" s="9">
        <f>'Sept 2023'!E22+'Oct-2023'!D22</f>
        <v>0</v>
      </c>
      <c r="F22" s="9">
        <v>0</v>
      </c>
      <c r="G22" s="9">
        <f>'Sept 2023'!G22+'Oct-2023'!F22</f>
        <v>0</v>
      </c>
      <c r="H22" s="9">
        <f t="shared" si="0"/>
        <v>27.069999999999879</v>
      </c>
      <c r="I22" s="9">
        <f>'Sept 2023'!N22</f>
        <v>15.940000000000005</v>
      </c>
      <c r="J22" s="9">
        <v>0.02</v>
      </c>
      <c r="K22" s="9">
        <f>'Sept 2023'!K22+'Oct-2023'!J22</f>
        <v>0.02</v>
      </c>
      <c r="L22" s="9">
        <v>0</v>
      </c>
      <c r="M22" s="9">
        <f>'Sept 2023'!M22+'Oct-2023'!L22</f>
        <v>0</v>
      </c>
      <c r="N22" s="9">
        <f t="shared" si="1"/>
        <v>15.960000000000004</v>
      </c>
      <c r="O22" s="10">
        <f>'Sept 2023'!T22</f>
        <v>776.59999999999968</v>
      </c>
      <c r="P22" s="9">
        <v>0</v>
      </c>
      <c r="Q22" s="9">
        <f>'Sept 2023'!Q22+'Oct-2023'!P22</f>
        <v>0.56999999999999995</v>
      </c>
      <c r="R22" s="9">
        <v>0</v>
      </c>
      <c r="S22" s="9">
        <f>'Sept 2023'!S22+'Oct-2023'!R22</f>
        <v>0</v>
      </c>
      <c r="T22" s="10">
        <f t="shared" si="2"/>
        <v>776.59999999999968</v>
      </c>
      <c r="U22" s="10">
        <f t="shared" si="3"/>
        <v>819.62999999999954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'Sept 2023'!H23</f>
        <v>1146.1419999999998</v>
      </c>
      <c r="D23" s="9">
        <v>0.71</v>
      </c>
      <c r="E23" s="9">
        <f>'Sept 2023'!E23+'Oct-2023'!D23</f>
        <v>13.649999999999999</v>
      </c>
      <c r="F23" s="9">
        <v>0</v>
      </c>
      <c r="G23" s="9">
        <f>'Sept 2023'!G23+'Oct-2023'!F23</f>
        <v>0</v>
      </c>
      <c r="H23" s="9">
        <f t="shared" si="0"/>
        <v>1146.8519999999999</v>
      </c>
      <c r="I23" s="9">
        <f>'Sept 2023'!N23</f>
        <v>54.843999999999987</v>
      </c>
      <c r="J23" s="9">
        <v>0.21</v>
      </c>
      <c r="K23" s="9">
        <f>'Sept 2023'!K23+'Oct-2023'!J23</f>
        <v>4.8499999999999988</v>
      </c>
      <c r="L23" s="9">
        <v>0</v>
      </c>
      <c r="M23" s="9">
        <f>'Sept 2023'!M23+'Oct-2023'!L23</f>
        <v>0</v>
      </c>
      <c r="N23" s="9">
        <f t="shared" si="1"/>
        <v>55.053999999999988</v>
      </c>
      <c r="O23" s="10">
        <f>'Sept 2023'!T23</f>
        <v>413.42499999999995</v>
      </c>
      <c r="P23" s="9">
        <v>0.48</v>
      </c>
      <c r="Q23" s="9">
        <f>'Sept 2023'!Q23+'Oct-2023'!P23</f>
        <v>9.07</v>
      </c>
      <c r="R23" s="9">
        <v>0</v>
      </c>
      <c r="S23" s="9">
        <f>'Sept 2023'!S23+'Oct-2023'!R23</f>
        <v>0</v>
      </c>
      <c r="T23" s="10">
        <f t="shared" si="2"/>
        <v>413.90499999999997</v>
      </c>
      <c r="U23" s="10">
        <f t="shared" si="3"/>
        <v>1615.8109999999999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'Sept 2023'!H24</f>
        <v>2249.686999999999</v>
      </c>
      <c r="D24" s="15">
        <f t="shared" ref="D24:U24" si="7">SUM(D20:D23)</f>
        <v>0.71</v>
      </c>
      <c r="E24" s="15">
        <f t="shared" si="7"/>
        <v>13.649999999999999</v>
      </c>
      <c r="F24" s="15">
        <f t="shared" si="7"/>
        <v>0</v>
      </c>
      <c r="G24" s="15">
        <f t="shared" si="7"/>
        <v>90.67</v>
      </c>
      <c r="H24" s="15">
        <f t="shared" si="7"/>
        <v>2250.396999999999</v>
      </c>
      <c r="I24" s="15">
        <f>'Sept 2023'!N24</f>
        <v>284.20800000000014</v>
      </c>
      <c r="J24" s="15">
        <f t="shared" si="7"/>
        <v>0.52</v>
      </c>
      <c r="K24" s="15">
        <f t="shared" si="7"/>
        <v>10.559999999999999</v>
      </c>
      <c r="L24" s="15">
        <f t="shared" si="7"/>
        <v>0</v>
      </c>
      <c r="M24" s="15">
        <f t="shared" si="7"/>
        <v>0</v>
      </c>
      <c r="N24" s="15">
        <f t="shared" si="7"/>
        <v>284.72800000000018</v>
      </c>
      <c r="O24" s="41">
        <f>'Sept 2023'!T24</f>
        <v>2249.3059999999996</v>
      </c>
      <c r="P24" s="15">
        <f t="shared" si="7"/>
        <v>1.05</v>
      </c>
      <c r="Q24" s="15">
        <f t="shared" si="7"/>
        <v>18.350000000000001</v>
      </c>
      <c r="R24" s="15">
        <f t="shared" si="7"/>
        <v>0</v>
      </c>
      <c r="S24" s="15">
        <f t="shared" si="7"/>
        <v>2.48</v>
      </c>
      <c r="T24" s="15">
        <f t="shared" si="7"/>
        <v>2250.3559999999998</v>
      </c>
      <c r="U24" s="15">
        <f t="shared" si="7"/>
        <v>4785.4809999999989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'Sept 2023'!H25</f>
        <v>8849.7529999999952</v>
      </c>
      <c r="D25" s="15">
        <f t="shared" ref="D25:U25" si="8">D11+D15+D19+D24</f>
        <v>1.66</v>
      </c>
      <c r="E25" s="15">
        <f t="shared" si="8"/>
        <v>30.259999999999998</v>
      </c>
      <c r="F25" s="15">
        <f t="shared" si="8"/>
        <v>0</v>
      </c>
      <c r="G25" s="15">
        <f t="shared" si="8"/>
        <v>93.87</v>
      </c>
      <c r="H25" s="15">
        <f t="shared" si="8"/>
        <v>8851.4129999999968</v>
      </c>
      <c r="I25" s="15">
        <f>'Sept 2023'!N25</f>
        <v>1667.8910000000003</v>
      </c>
      <c r="J25" s="15">
        <f t="shared" si="8"/>
        <v>8.4700000000000006</v>
      </c>
      <c r="K25" s="15">
        <f t="shared" si="8"/>
        <v>106.31700000000001</v>
      </c>
      <c r="L25" s="15">
        <f t="shared" si="8"/>
        <v>10.34</v>
      </c>
      <c r="M25" s="15">
        <f t="shared" si="8"/>
        <v>10.46</v>
      </c>
      <c r="N25" s="15">
        <f t="shared" si="8"/>
        <v>1666.0210000000002</v>
      </c>
      <c r="O25" s="41">
        <f>'Sept 2023'!T25</f>
        <v>7621.9740000000002</v>
      </c>
      <c r="P25" s="15">
        <f t="shared" si="8"/>
        <v>52.739999999999995</v>
      </c>
      <c r="Q25" s="15">
        <f t="shared" si="8"/>
        <v>645.24</v>
      </c>
      <c r="R25" s="15">
        <f t="shared" si="8"/>
        <v>0.7</v>
      </c>
      <c r="S25" s="15">
        <f t="shared" si="8"/>
        <v>22.419999999999998</v>
      </c>
      <c r="T25" s="15">
        <f t="shared" si="8"/>
        <v>7674.0139999999992</v>
      </c>
      <c r="U25" s="15">
        <f t="shared" si="8"/>
        <v>18191.447999999997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'Sept 2023'!H26</f>
        <v>1287.7419999999997</v>
      </c>
      <c r="D26" s="9">
        <v>11.66</v>
      </c>
      <c r="E26" s="9">
        <f>'Sept 2023'!E26+'Oct-2023'!D26</f>
        <v>61.42</v>
      </c>
      <c r="F26" s="9">
        <v>0</v>
      </c>
      <c r="G26" s="9">
        <f>'Sept 2023'!G26+'Oct-2023'!F26</f>
        <v>0.02</v>
      </c>
      <c r="H26" s="9">
        <f t="shared" si="0"/>
        <v>1299.4019999999998</v>
      </c>
      <c r="I26" s="9">
        <f>'Sept 2023'!N26</f>
        <v>0.76</v>
      </c>
      <c r="J26" s="9">
        <v>0</v>
      </c>
      <c r="K26" s="9">
        <f>'Sept 2023'!K26+'Oct-2023'!J26</f>
        <v>0.65</v>
      </c>
      <c r="L26" s="9">
        <v>0</v>
      </c>
      <c r="M26" s="9">
        <f>'Sept 2023'!M26+'Oct-2023'!L26</f>
        <v>0</v>
      </c>
      <c r="N26" s="9">
        <f t="shared" si="1"/>
        <v>0.76</v>
      </c>
      <c r="O26" s="10">
        <f>'Sept 2023'!T26</f>
        <v>206.56000000000003</v>
      </c>
      <c r="P26" s="9">
        <v>0</v>
      </c>
      <c r="Q26" s="9">
        <f>'Sept 2023'!Q26+'Oct-2023'!P26</f>
        <v>2.8299999999999996</v>
      </c>
      <c r="R26" s="9">
        <v>0</v>
      </c>
      <c r="S26" s="9">
        <f>'Sept 2023'!S26+'Oct-2023'!R26</f>
        <v>0</v>
      </c>
      <c r="T26" s="10">
        <f t="shared" si="2"/>
        <v>206.56000000000003</v>
      </c>
      <c r="U26" s="10">
        <f t="shared" si="3"/>
        <v>1506.7219999999998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'Sept 2023'!H27</f>
        <v>10469.676999999994</v>
      </c>
      <c r="D27" s="9">
        <v>8.6199999999999992</v>
      </c>
      <c r="E27" s="9">
        <f>'Sept 2023'!E27+'Oct-2023'!D27</f>
        <v>64.14</v>
      </c>
      <c r="F27" s="9">
        <v>0</v>
      </c>
      <c r="G27" s="9">
        <f>'Sept 2023'!G27+'Oct-2023'!F27</f>
        <v>0</v>
      </c>
      <c r="H27" s="9">
        <f t="shared" si="0"/>
        <v>10478.296999999995</v>
      </c>
      <c r="I27" s="9">
        <f>'Sept 2023'!N27</f>
        <v>424.66499999999996</v>
      </c>
      <c r="J27" s="9">
        <v>4.75</v>
      </c>
      <c r="K27" s="9">
        <f>'Sept 2023'!K27+'Oct-2023'!J27</f>
        <v>20.98</v>
      </c>
      <c r="L27" s="9">
        <v>0</v>
      </c>
      <c r="M27" s="9">
        <f>'Sept 2023'!M27+'Oct-2023'!L27</f>
        <v>0</v>
      </c>
      <c r="N27" s="9">
        <f t="shared" si="1"/>
        <v>429.41499999999996</v>
      </c>
      <c r="O27" s="10">
        <f>'Sept 2023'!T27</f>
        <v>45.500000000000014</v>
      </c>
      <c r="P27" s="9">
        <v>0.27</v>
      </c>
      <c r="Q27" s="9">
        <f>'Sept 2023'!Q27+'Oct-2023'!P27</f>
        <v>2.25</v>
      </c>
      <c r="R27" s="9">
        <v>0</v>
      </c>
      <c r="S27" s="9">
        <f>'Sept 2023'!S27+'Oct-2023'!R27</f>
        <v>0</v>
      </c>
      <c r="T27" s="10">
        <f t="shared" si="2"/>
        <v>45.770000000000017</v>
      </c>
      <c r="U27" s="10">
        <f t="shared" si="3"/>
        <v>10953.481999999996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'Sept 2023'!H28</f>
        <v>11757.418999999994</v>
      </c>
      <c r="D28" s="15">
        <f t="shared" ref="D28:U28" si="9">SUM(D26:D27)</f>
        <v>20.28</v>
      </c>
      <c r="E28" s="15">
        <f t="shared" si="9"/>
        <v>125.56</v>
      </c>
      <c r="F28" s="15">
        <f t="shared" si="9"/>
        <v>0</v>
      </c>
      <c r="G28" s="15">
        <f t="shared" si="9"/>
        <v>0.02</v>
      </c>
      <c r="H28" s="15">
        <f t="shared" si="9"/>
        <v>11777.698999999995</v>
      </c>
      <c r="I28" s="15">
        <f>'Sept 2023'!N28</f>
        <v>425.42499999999995</v>
      </c>
      <c r="J28" s="15">
        <f t="shared" si="9"/>
        <v>4.75</v>
      </c>
      <c r="K28" s="15">
        <f t="shared" si="9"/>
        <v>21.63</v>
      </c>
      <c r="L28" s="15">
        <f t="shared" si="9"/>
        <v>0</v>
      </c>
      <c r="M28" s="15">
        <f t="shared" si="9"/>
        <v>0</v>
      </c>
      <c r="N28" s="15">
        <f t="shared" si="9"/>
        <v>430.17499999999995</v>
      </c>
      <c r="O28" s="41">
        <f>'Sept 2023'!T28</f>
        <v>252.06000000000006</v>
      </c>
      <c r="P28" s="15">
        <f t="shared" si="9"/>
        <v>0.27</v>
      </c>
      <c r="Q28" s="15">
        <f t="shared" si="9"/>
        <v>5.08</v>
      </c>
      <c r="R28" s="15">
        <f t="shared" si="9"/>
        <v>0</v>
      </c>
      <c r="S28" s="15">
        <f t="shared" si="9"/>
        <v>0</v>
      </c>
      <c r="T28" s="15">
        <f t="shared" si="9"/>
        <v>252.33000000000004</v>
      </c>
      <c r="U28" s="15">
        <f t="shared" si="9"/>
        <v>12460.203999999996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'Sept 2023'!H29</f>
        <v>4637.9590000000007</v>
      </c>
      <c r="D29" s="9">
        <v>7.85</v>
      </c>
      <c r="E29" s="9">
        <f>'Sept 2023'!E29+'Oct-2023'!D29</f>
        <v>94.77</v>
      </c>
      <c r="F29" s="9">
        <v>0</v>
      </c>
      <c r="G29" s="9">
        <f>'Sept 2023'!G29+'Oct-2023'!F29</f>
        <v>0</v>
      </c>
      <c r="H29" s="9">
        <f t="shared" si="0"/>
        <v>4645.8090000000011</v>
      </c>
      <c r="I29" s="9">
        <f>'Sept 2023'!N29</f>
        <v>185.37</v>
      </c>
      <c r="J29" s="9">
        <v>0</v>
      </c>
      <c r="K29" s="9">
        <f>'Sept 2023'!K29+'Oct-2023'!J29</f>
        <v>0.67</v>
      </c>
      <c r="L29" s="9">
        <v>0</v>
      </c>
      <c r="M29" s="9">
        <f>'Sept 2023'!M29+'Oct-2023'!L29</f>
        <v>0</v>
      </c>
      <c r="N29" s="9">
        <f t="shared" si="1"/>
        <v>185.37</v>
      </c>
      <c r="O29" s="10">
        <f>'Sept 2023'!T29</f>
        <v>758.4559999999999</v>
      </c>
      <c r="P29" s="9">
        <v>7.67</v>
      </c>
      <c r="Q29" s="9">
        <f>'Sept 2023'!Q29+'Oct-2023'!P29</f>
        <v>248.85599999999997</v>
      </c>
      <c r="R29" s="9">
        <v>0</v>
      </c>
      <c r="S29" s="9">
        <f>'Sept 2023'!S29+'Oct-2023'!R29</f>
        <v>0</v>
      </c>
      <c r="T29" s="10">
        <f t="shared" si="2"/>
        <v>766.12599999999986</v>
      </c>
      <c r="U29" s="10">
        <f t="shared" si="3"/>
        <v>5597.3050000000012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'Sept 2023'!H30</f>
        <v>6534.0920000000015</v>
      </c>
      <c r="D30" s="9">
        <v>13.33</v>
      </c>
      <c r="E30" s="9">
        <f>'Sept 2023'!E30+'Oct-2023'!D30</f>
        <v>96.429999999999993</v>
      </c>
      <c r="F30" s="9">
        <v>0</v>
      </c>
      <c r="G30" s="9">
        <f>'Sept 2023'!G30+'Oct-2023'!F30</f>
        <v>0</v>
      </c>
      <c r="H30" s="9">
        <f t="shared" si="0"/>
        <v>6547.4220000000014</v>
      </c>
      <c r="I30" s="9">
        <f>'Sept 2023'!N30</f>
        <v>134.93</v>
      </c>
      <c r="J30" s="9">
        <v>0</v>
      </c>
      <c r="K30" s="9">
        <f>'Sept 2023'!K30+'Oct-2023'!J30</f>
        <v>4.13</v>
      </c>
      <c r="L30" s="9">
        <v>0</v>
      </c>
      <c r="M30" s="9">
        <f>'Sept 2023'!M30+'Oct-2023'!L30</f>
        <v>0</v>
      </c>
      <c r="N30" s="9">
        <f t="shared" si="1"/>
        <v>134.93</v>
      </c>
      <c r="O30" s="10">
        <f>'Sept 2023'!T30</f>
        <v>311.12</v>
      </c>
      <c r="P30" s="9">
        <v>0</v>
      </c>
      <c r="Q30" s="9">
        <f>'Sept 2023'!Q30+'Oct-2023'!P30</f>
        <v>116.33999999999999</v>
      </c>
      <c r="R30" s="9">
        <v>0</v>
      </c>
      <c r="S30" s="9">
        <f>'Sept 2023'!S30+'Oct-2023'!R30</f>
        <v>0</v>
      </c>
      <c r="T30" s="10">
        <f t="shared" si="2"/>
        <v>311.12</v>
      </c>
      <c r="U30" s="10">
        <f t="shared" si="3"/>
        <v>6993.4720000000016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'Sept 2023'!H31</f>
        <v>3149.5779999999995</v>
      </c>
      <c r="D31" s="9">
        <v>3.94</v>
      </c>
      <c r="E31" s="9">
        <f>'Sept 2023'!E31+'Oct-2023'!D31</f>
        <v>25.163000000000004</v>
      </c>
      <c r="F31" s="9">
        <v>0</v>
      </c>
      <c r="G31" s="9">
        <f>'Sept 2023'!G31+'Oct-2023'!F31</f>
        <v>0</v>
      </c>
      <c r="H31" s="9">
        <f t="shared" si="0"/>
        <v>3153.5179999999996</v>
      </c>
      <c r="I31" s="9">
        <f>'Sept 2023'!N31</f>
        <v>50.180000000000007</v>
      </c>
      <c r="J31" s="9">
        <v>0</v>
      </c>
      <c r="K31" s="9">
        <f>'Sept 2023'!K31+'Oct-2023'!J31</f>
        <v>0</v>
      </c>
      <c r="L31" s="9">
        <v>0</v>
      </c>
      <c r="M31" s="9">
        <f>'Sept 2023'!M31+'Oct-2023'!L31</f>
        <v>0</v>
      </c>
      <c r="N31" s="9">
        <f t="shared" si="1"/>
        <v>50.180000000000007</v>
      </c>
      <c r="O31" s="10">
        <f>'Sept 2023'!T31</f>
        <v>244.44</v>
      </c>
      <c r="P31" s="9">
        <v>0</v>
      </c>
      <c r="Q31" s="9">
        <f>'Sept 2023'!Q31+'Oct-2023'!P31</f>
        <v>0</v>
      </c>
      <c r="R31" s="9">
        <v>0</v>
      </c>
      <c r="S31" s="9">
        <f>'Sept 2023'!S31+'Oct-2023'!R31</f>
        <v>0</v>
      </c>
      <c r="T31" s="10">
        <f t="shared" si="2"/>
        <v>244.44</v>
      </c>
      <c r="U31" s="10">
        <f t="shared" si="3"/>
        <v>3448.1379999999995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'Sept 2023'!H32</f>
        <v>4424.3499999999995</v>
      </c>
      <c r="D32" s="9">
        <v>3.58</v>
      </c>
      <c r="E32" s="9">
        <f>'Sept 2023'!E32+'Oct-2023'!D32</f>
        <v>26.65</v>
      </c>
      <c r="F32" s="9">
        <v>0</v>
      </c>
      <c r="G32" s="9">
        <f>'Sept 2023'!G32+'Oct-2023'!F32</f>
        <v>0</v>
      </c>
      <c r="H32" s="9">
        <f t="shared" si="0"/>
        <v>4427.9299999999994</v>
      </c>
      <c r="I32" s="9">
        <f>'Sept 2023'!N32</f>
        <v>250.68999999999994</v>
      </c>
      <c r="J32" s="9">
        <v>1.3</v>
      </c>
      <c r="K32" s="9">
        <f>'Sept 2023'!K32+'Oct-2023'!J32</f>
        <v>25.610000000000003</v>
      </c>
      <c r="L32" s="9">
        <v>0</v>
      </c>
      <c r="M32" s="9">
        <f>'Sept 2023'!M32+'Oct-2023'!L32</f>
        <v>0</v>
      </c>
      <c r="N32" s="9">
        <f t="shared" si="1"/>
        <v>251.98999999999995</v>
      </c>
      <c r="O32" s="10">
        <f>'Sept 2023'!T32</f>
        <v>243.69999999999996</v>
      </c>
      <c r="P32" s="9">
        <v>0</v>
      </c>
      <c r="Q32" s="9">
        <f>'Sept 2023'!Q32+'Oct-2023'!P32</f>
        <v>0.05</v>
      </c>
      <c r="R32" s="9">
        <v>0</v>
      </c>
      <c r="S32" s="9">
        <f>'Sept 2023'!S32+'Oct-2023'!R32</f>
        <v>0</v>
      </c>
      <c r="T32" s="10">
        <f t="shared" si="2"/>
        <v>243.69999999999996</v>
      </c>
      <c r="U32" s="10">
        <f t="shared" si="3"/>
        <v>4923.619999999999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'Sept 2023'!H33</f>
        <v>18745.979000000003</v>
      </c>
      <c r="D33" s="15">
        <f t="shared" ref="D33:U33" si="10">SUM(D29:D32)</f>
        <v>28.700000000000003</v>
      </c>
      <c r="E33" s="15">
        <f t="shared" si="10"/>
        <v>243.01300000000001</v>
      </c>
      <c r="F33" s="15">
        <f t="shared" si="10"/>
        <v>0</v>
      </c>
      <c r="G33" s="15">
        <f t="shared" si="10"/>
        <v>0</v>
      </c>
      <c r="H33" s="15">
        <f t="shared" si="10"/>
        <v>18774.679000000004</v>
      </c>
      <c r="I33" s="15">
        <f>'Sept 2023'!N33</f>
        <v>621.16999999999996</v>
      </c>
      <c r="J33" s="15">
        <f t="shared" si="10"/>
        <v>1.3</v>
      </c>
      <c r="K33" s="15">
        <f t="shared" si="10"/>
        <v>30.410000000000004</v>
      </c>
      <c r="L33" s="15">
        <f t="shared" si="10"/>
        <v>0</v>
      </c>
      <c r="M33" s="15">
        <f t="shared" si="10"/>
        <v>0</v>
      </c>
      <c r="N33" s="15">
        <f t="shared" si="10"/>
        <v>622.47</v>
      </c>
      <c r="O33" s="41">
        <f>'Sept 2023'!T33</f>
        <v>1557.7160000000001</v>
      </c>
      <c r="P33" s="15">
        <f t="shared" si="10"/>
        <v>7.67</v>
      </c>
      <c r="Q33" s="15">
        <f t="shared" si="10"/>
        <v>365.24599999999998</v>
      </c>
      <c r="R33" s="15">
        <f t="shared" si="10"/>
        <v>0</v>
      </c>
      <c r="S33" s="15">
        <f t="shared" si="10"/>
        <v>0</v>
      </c>
      <c r="T33" s="15">
        <f t="shared" si="10"/>
        <v>1565.386</v>
      </c>
      <c r="U33" s="15">
        <f t="shared" si="10"/>
        <v>20962.535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'Sept 2023'!H34</f>
        <v>6296.0800000000027</v>
      </c>
      <c r="D34" s="9">
        <f>4.69+20.17</f>
        <v>24.860000000000003</v>
      </c>
      <c r="E34" s="9">
        <f>'Sept 2023'!E34+'Oct-2023'!D34</f>
        <v>219.58000000000004</v>
      </c>
      <c r="F34" s="9">
        <v>0</v>
      </c>
      <c r="G34" s="9">
        <f>'Sept 2023'!G34+'Oct-2023'!F34</f>
        <v>26.64</v>
      </c>
      <c r="H34" s="9">
        <f t="shared" si="0"/>
        <v>6320.9400000000023</v>
      </c>
      <c r="I34" s="9">
        <f>'Sept 2023'!N34</f>
        <v>2</v>
      </c>
      <c r="J34" s="9">
        <v>0</v>
      </c>
      <c r="K34" s="9">
        <f>'Sept 2023'!K34+'Oct-2023'!J34</f>
        <v>0</v>
      </c>
      <c r="L34" s="9">
        <v>0</v>
      </c>
      <c r="M34" s="9">
        <f>'Sept 2023'!M34+'Oct-2023'!L34</f>
        <v>0</v>
      </c>
      <c r="N34" s="9">
        <f t="shared" si="1"/>
        <v>2</v>
      </c>
      <c r="O34" s="10">
        <f>'Sept 2023'!T34</f>
        <v>21.87</v>
      </c>
      <c r="P34" s="9">
        <v>0</v>
      </c>
      <c r="Q34" s="9">
        <f>'Sept 2023'!Q34+'Oct-2023'!P34</f>
        <v>0.18</v>
      </c>
      <c r="R34" s="9">
        <v>0</v>
      </c>
      <c r="S34" s="9">
        <f>'Sept 2023'!S34+'Oct-2023'!R34</f>
        <v>17.010000000000002</v>
      </c>
      <c r="T34" s="10">
        <f t="shared" si="2"/>
        <v>21.87</v>
      </c>
      <c r="U34" s="10">
        <f t="shared" si="3"/>
        <v>6344.8100000000022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'Sept 2023'!H35</f>
        <v>7658.5150000000012</v>
      </c>
      <c r="D35" s="9">
        <f>11.24+5.6+437.5</f>
        <v>454.34</v>
      </c>
      <c r="E35" s="9">
        <f>'Sept 2023'!E35+'Oct-2023'!D35</f>
        <v>3203.0899999999997</v>
      </c>
      <c r="F35" s="9">
        <v>0</v>
      </c>
      <c r="G35" s="9">
        <f>'Sept 2023'!G35+'Oct-2023'!F35</f>
        <v>0</v>
      </c>
      <c r="H35" s="9">
        <f t="shared" si="0"/>
        <v>8112.8550000000014</v>
      </c>
      <c r="I35" s="9">
        <f>'Sept 2023'!N35</f>
        <v>0.1</v>
      </c>
      <c r="J35" s="9">
        <v>0</v>
      </c>
      <c r="K35" s="9">
        <f>'Sept 2023'!K35+'Oct-2023'!J35</f>
        <v>0</v>
      </c>
      <c r="L35" s="9">
        <v>0</v>
      </c>
      <c r="M35" s="9">
        <f>'Sept 2023'!M35+'Oct-2023'!L35</f>
        <v>0</v>
      </c>
      <c r="N35" s="9">
        <f t="shared" si="1"/>
        <v>0.1</v>
      </c>
      <c r="O35" s="10">
        <f>'Sept 2023'!T35</f>
        <v>125.47000000000001</v>
      </c>
      <c r="P35" s="9">
        <v>0</v>
      </c>
      <c r="Q35" s="9">
        <f>'Sept 2023'!Q35+'Oct-2023'!P35</f>
        <v>0</v>
      </c>
      <c r="R35" s="9">
        <v>0</v>
      </c>
      <c r="S35" s="9">
        <f>'Sept 2023'!S35+'Oct-2023'!R35</f>
        <v>0</v>
      </c>
      <c r="T35" s="10">
        <f t="shared" si="2"/>
        <v>125.47000000000001</v>
      </c>
      <c r="U35" s="10">
        <f t="shared" si="3"/>
        <v>8238.4250000000011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'Sept 2023'!H36</f>
        <v>21390.210000000003</v>
      </c>
      <c r="D36" s="9">
        <f>18.21+26.24+305.38</f>
        <v>349.83</v>
      </c>
      <c r="E36" s="9">
        <f>'Sept 2023'!E36+'Oct-2023'!D36</f>
        <v>2271.02</v>
      </c>
      <c r="F36" s="9">
        <v>0</v>
      </c>
      <c r="G36" s="9">
        <f>'Sept 2023'!G36+'Oct-2023'!F36</f>
        <v>0</v>
      </c>
      <c r="H36" s="9">
        <f t="shared" si="0"/>
        <v>21740.040000000005</v>
      </c>
      <c r="I36" s="9">
        <f>'Sept 2023'!N36</f>
        <v>8.5</v>
      </c>
      <c r="J36" s="9">
        <v>0</v>
      </c>
      <c r="K36" s="9">
        <f>'Sept 2023'!K36+'Oct-2023'!J36</f>
        <v>0.26</v>
      </c>
      <c r="L36" s="9">
        <v>0</v>
      </c>
      <c r="M36" s="9">
        <f>'Sept 2023'!M36+'Oct-2023'!L36</f>
        <v>0.26</v>
      </c>
      <c r="N36" s="9">
        <f t="shared" si="1"/>
        <v>8.5</v>
      </c>
      <c r="O36" s="10">
        <f>'Sept 2023'!T36</f>
        <v>72.39</v>
      </c>
      <c r="P36" s="9">
        <v>0</v>
      </c>
      <c r="Q36" s="9">
        <f>'Sept 2023'!Q36+'Oct-2023'!P36</f>
        <v>0</v>
      </c>
      <c r="R36" s="9">
        <v>0</v>
      </c>
      <c r="S36" s="9">
        <f>'Sept 2023'!S36+'Oct-2023'!R36</f>
        <v>0</v>
      </c>
      <c r="T36" s="10">
        <f t="shared" si="2"/>
        <v>72.39</v>
      </c>
      <c r="U36" s="10">
        <f t="shared" si="3"/>
        <v>21820.930000000004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'Sept 2023'!H37</f>
        <v>7048.2899999999991</v>
      </c>
      <c r="D37" s="9">
        <v>3.58</v>
      </c>
      <c r="E37" s="9">
        <f>'Sept 2023'!E37+'Oct-2023'!D37</f>
        <v>26.93</v>
      </c>
      <c r="F37" s="9">
        <v>0</v>
      </c>
      <c r="G37" s="9">
        <f>'Sept 2023'!G37+'Oct-2023'!F37</f>
        <v>0.02</v>
      </c>
      <c r="H37" s="9">
        <f t="shared" si="0"/>
        <v>7051.869999999999</v>
      </c>
      <c r="I37" s="9">
        <f>'Sept 2023'!N37</f>
        <v>0</v>
      </c>
      <c r="J37" s="9">
        <v>0</v>
      </c>
      <c r="K37" s="9">
        <f>'Sept 2023'!K37+'Oct-2023'!J37</f>
        <v>0</v>
      </c>
      <c r="L37" s="9">
        <v>0</v>
      </c>
      <c r="M37" s="9">
        <f>'Sept 2023'!M37+'Oct-2023'!L37</f>
        <v>0</v>
      </c>
      <c r="N37" s="9">
        <f t="shared" si="1"/>
        <v>0</v>
      </c>
      <c r="O37" s="10">
        <f>'Sept 2023'!T37</f>
        <v>3.1</v>
      </c>
      <c r="P37" s="9">
        <v>0</v>
      </c>
      <c r="Q37" s="9">
        <f>'Sept 2023'!Q37+'Oct-2023'!P37</f>
        <v>0</v>
      </c>
      <c r="R37" s="9">
        <v>0</v>
      </c>
      <c r="S37" s="9">
        <f>'Sept 2023'!S37+'Oct-2023'!R37</f>
        <v>0</v>
      </c>
      <c r="T37" s="10">
        <f t="shared" si="2"/>
        <v>3.1</v>
      </c>
      <c r="U37" s="10">
        <f t="shared" si="3"/>
        <v>7054.9699999999993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'Sept 2023'!H38</f>
        <v>42393.095000000008</v>
      </c>
      <c r="D38" s="15">
        <f t="shared" ref="D38:U38" si="11">SUM(D34:D37)</f>
        <v>832.61</v>
      </c>
      <c r="E38" s="15">
        <f t="shared" si="11"/>
        <v>5720.62</v>
      </c>
      <c r="F38" s="15">
        <f t="shared" si="11"/>
        <v>0</v>
      </c>
      <c r="G38" s="15">
        <f t="shared" si="11"/>
        <v>26.66</v>
      </c>
      <c r="H38" s="15">
        <f t="shared" si="11"/>
        <v>43225.705000000002</v>
      </c>
      <c r="I38" s="15">
        <f>'Sept 2023'!N38</f>
        <v>10.6</v>
      </c>
      <c r="J38" s="15">
        <f t="shared" si="11"/>
        <v>0</v>
      </c>
      <c r="K38" s="15">
        <f t="shared" si="11"/>
        <v>0.26</v>
      </c>
      <c r="L38" s="15">
        <f t="shared" si="11"/>
        <v>0</v>
      </c>
      <c r="M38" s="15">
        <f t="shared" si="11"/>
        <v>0.26</v>
      </c>
      <c r="N38" s="15">
        <f t="shared" si="11"/>
        <v>10.6</v>
      </c>
      <c r="O38" s="41">
        <f>'Sept 2023'!T38</f>
        <v>222.83</v>
      </c>
      <c r="P38" s="15">
        <f t="shared" si="11"/>
        <v>0</v>
      </c>
      <c r="Q38" s="15">
        <f t="shared" si="11"/>
        <v>0.18</v>
      </c>
      <c r="R38" s="15">
        <f t="shared" si="11"/>
        <v>0</v>
      </c>
      <c r="S38" s="15">
        <f t="shared" si="11"/>
        <v>17.010000000000002</v>
      </c>
      <c r="T38" s="15">
        <f t="shared" si="11"/>
        <v>222.83</v>
      </c>
      <c r="U38" s="15">
        <f t="shared" si="11"/>
        <v>43459.135000000009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'Sept 2023'!H39</f>
        <v>72896.493000000002</v>
      </c>
      <c r="D39" s="15">
        <f t="shared" ref="D39:U39" si="12">D28+D33+D38</f>
        <v>881.59</v>
      </c>
      <c r="E39" s="15">
        <f t="shared" si="12"/>
        <v>6089.1930000000002</v>
      </c>
      <c r="F39" s="15">
        <f t="shared" si="12"/>
        <v>0</v>
      </c>
      <c r="G39" s="15">
        <f t="shared" si="12"/>
        <v>26.68</v>
      </c>
      <c r="H39" s="15">
        <f t="shared" si="12"/>
        <v>73778.082999999999</v>
      </c>
      <c r="I39" s="15">
        <f>'Sept 2023'!N39</f>
        <v>1057.1949999999999</v>
      </c>
      <c r="J39" s="15">
        <f t="shared" si="12"/>
        <v>6.05</v>
      </c>
      <c r="K39" s="15">
        <f t="shared" si="12"/>
        <v>52.300000000000004</v>
      </c>
      <c r="L39" s="15">
        <f t="shared" si="12"/>
        <v>0</v>
      </c>
      <c r="M39" s="15">
        <f t="shared" si="12"/>
        <v>0.26</v>
      </c>
      <c r="N39" s="15">
        <f t="shared" si="12"/>
        <v>1063.2449999999999</v>
      </c>
      <c r="O39" s="41">
        <f>'Sept 2023'!T39</f>
        <v>2032.6060000000002</v>
      </c>
      <c r="P39" s="15">
        <f t="shared" si="12"/>
        <v>7.9399999999999995</v>
      </c>
      <c r="Q39" s="15">
        <f t="shared" si="12"/>
        <v>370.50599999999997</v>
      </c>
      <c r="R39" s="15">
        <f t="shared" si="12"/>
        <v>0</v>
      </c>
      <c r="S39" s="15">
        <f t="shared" si="12"/>
        <v>17.010000000000002</v>
      </c>
      <c r="T39" s="15">
        <f t="shared" si="12"/>
        <v>2040.5459999999998</v>
      </c>
      <c r="U39" s="15">
        <f t="shared" si="12"/>
        <v>76881.874000000011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'Sept 2023'!H40</f>
        <v>13973.468000000003</v>
      </c>
      <c r="D40" s="9">
        <v>5.8</v>
      </c>
      <c r="E40" s="9">
        <f>'Sept 2023'!E40+'Oct-2023'!D40</f>
        <v>70.02</v>
      </c>
      <c r="F40" s="9">
        <v>0</v>
      </c>
      <c r="G40" s="9">
        <f>'Sept 2023'!G40+'Oct-2023'!F40</f>
        <v>0</v>
      </c>
      <c r="H40" s="9">
        <f t="shared" si="0"/>
        <v>13979.268000000002</v>
      </c>
      <c r="I40" s="9">
        <f>'Sept 2023'!N40</f>
        <v>226.8</v>
      </c>
      <c r="J40" s="9">
        <v>0</v>
      </c>
      <c r="K40" s="9">
        <f>'Sept 2023'!K40+'Oct-2023'!J40</f>
        <v>0</v>
      </c>
      <c r="L40" s="9">
        <v>0</v>
      </c>
      <c r="M40" s="9">
        <f>'Sept 2023'!M40+'Oct-2023'!L40</f>
        <v>0</v>
      </c>
      <c r="N40" s="9">
        <f t="shared" si="1"/>
        <v>226.8</v>
      </c>
      <c r="O40" s="10">
        <f>'Sept 2023'!T40</f>
        <v>75.02000000000001</v>
      </c>
      <c r="P40" s="9">
        <v>0</v>
      </c>
      <c r="Q40" s="9">
        <f>'Sept 2023'!Q40+'Oct-2023'!P40</f>
        <v>0</v>
      </c>
      <c r="R40" s="9">
        <v>0</v>
      </c>
      <c r="S40" s="9">
        <f>'Sept 2023'!S40+'Oct-2023'!R40</f>
        <v>0</v>
      </c>
      <c r="T40" s="10">
        <f t="shared" si="2"/>
        <v>75.02000000000001</v>
      </c>
      <c r="U40" s="10">
        <f t="shared" si="3"/>
        <v>14281.088000000002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'Sept 2023'!H41</f>
        <v>10706.385999999995</v>
      </c>
      <c r="D41" s="9">
        <v>4.0599999999999996</v>
      </c>
      <c r="E41" s="9">
        <f>'Sept 2023'!E41+'Oct-2023'!D41</f>
        <v>18.209999999999997</v>
      </c>
      <c r="F41" s="9">
        <v>0</v>
      </c>
      <c r="G41" s="9">
        <f>'Sept 2023'!G41+'Oct-2023'!F41</f>
        <v>0</v>
      </c>
      <c r="H41" s="9">
        <f t="shared" si="0"/>
        <v>10710.445999999994</v>
      </c>
      <c r="I41" s="9">
        <f>'Sept 2023'!N41</f>
        <v>0</v>
      </c>
      <c r="J41" s="9">
        <v>0</v>
      </c>
      <c r="K41" s="9">
        <f>'Sept 2023'!K41+'Oct-2023'!J41</f>
        <v>0</v>
      </c>
      <c r="L41" s="9">
        <v>0</v>
      </c>
      <c r="M41" s="9">
        <f>'Sept 2023'!M41+'Oct-2023'!L41</f>
        <v>0</v>
      </c>
      <c r="N41" s="9">
        <f t="shared" si="1"/>
        <v>0</v>
      </c>
      <c r="O41" s="10">
        <f>'Sept 2023'!T41</f>
        <v>89.580000000000013</v>
      </c>
      <c r="P41" s="9">
        <v>0</v>
      </c>
      <c r="Q41" s="9">
        <f>'Sept 2023'!Q41+'Oct-2023'!P41</f>
        <v>0</v>
      </c>
      <c r="R41" s="9">
        <v>0</v>
      </c>
      <c r="S41" s="9">
        <f>'Sept 2023'!S41+'Oct-2023'!R41</f>
        <v>0</v>
      </c>
      <c r="T41" s="10">
        <f t="shared" si="2"/>
        <v>89.580000000000013</v>
      </c>
      <c r="U41" s="10">
        <f t="shared" si="3"/>
        <v>10800.025999999994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'Sept 2023'!H42</f>
        <v>24749.464000000004</v>
      </c>
      <c r="D42" s="9">
        <f>23.52+96.87</f>
        <v>120.39</v>
      </c>
      <c r="E42" s="9">
        <f>'Sept 2023'!E42+'Oct-2023'!D42</f>
        <v>789.62</v>
      </c>
      <c r="F42" s="9">
        <v>0</v>
      </c>
      <c r="G42" s="9">
        <f>'Sept 2023'!G42+'Oct-2023'!F42</f>
        <v>0</v>
      </c>
      <c r="H42" s="9">
        <f t="shared" si="0"/>
        <v>24869.854000000003</v>
      </c>
      <c r="I42" s="9">
        <f>'Sept 2023'!N42</f>
        <v>0</v>
      </c>
      <c r="J42" s="9">
        <v>0</v>
      </c>
      <c r="K42" s="9">
        <f>'Sept 2023'!K42+'Oct-2023'!J42</f>
        <v>0</v>
      </c>
      <c r="L42" s="9">
        <v>0</v>
      </c>
      <c r="M42" s="9">
        <f>'Sept 2023'!M42+'Oct-2023'!L42</f>
        <v>0</v>
      </c>
      <c r="N42" s="9">
        <f t="shared" si="1"/>
        <v>0</v>
      </c>
      <c r="O42" s="10">
        <f>'Sept 2023'!T42</f>
        <v>38.47</v>
      </c>
      <c r="P42" s="9">
        <v>0</v>
      </c>
      <c r="Q42" s="9">
        <f>'Sept 2023'!Q42+'Oct-2023'!P42</f>
        <v>0</v>
      </c>
      <c r="R42" s="9">
        <v>0</v>
      </c>
      <c r="S42" s="9">
        <f>'Sept 2023'!S42+'Oct-2023'!R42</f>
        <v>0</v>
      </c>
      <c r="T42" s="10">
        <f t="shared" si="2"/>
        <v>38.47</v>
      </c>
      <c r="U42" s="10">
        <f t="shared" si="3"/>
        <v>24908.324000000004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'Sept 2023'!H43</f>
        <v>2920.3430000000003</v>
      </c>
      <c r="D43" s="9">
        <f>2.2+24.22+55.71</f>
        <v>82.13</v>
      </c>
      <c r="E43" s="9">
        <f>'Sept 2023'!E43+'Oct-2023'!D43</f>
        <v>522.47</v>
      </c>
      <c r="F43" s="9">
        <v>0</v>
      </c>
      <c r="G43" s="9">
        <f>'Sept 2023'!G43+'Oct-2023'!F43</f>
        <v>0</v>
      </c>
      <c r="H43" s="9">
        <f t="shared" si="0"/>
        <v>3002.4730000000004</v>
      </c>
      <c r="I43" s="9">
        <f>'Sept 2023'!N43</f>
        <v>0</v>
      </c>
      <c r="J43" s="9">
        <v>0</v>
      </c>
      <c r="K43" s="9">
        <f>'Sept 2023'!K43+'Oct-2023'!J43</f>
        <v>0</v>
      </c>
      <c r="L43" s="9">
        <v>0</v>
      </c>
      <c r="M43" s="9">
        <f>'Sept 2023'!M43+'Oct-2023'!L43</f>
        <v>0</v>
      </c>
      <c r="N43" s="9">
        <f t="shared" si="1"/>
        <v>0</v>
      </c>
      <c r="O43" s="10">
        <f>'Sept 2023'!T43</f>
        <v>146.49</v>
      </c>
      <c r="P43" s="9">
        <v>0</v>
      </c>
      <c r="Q43" s="9">
        <f>'Sept 2023'!Q43+'Oct-2023'!P43</f>
        <v>0</v>
      </c>
      <c r="R43" s="9">
        <v>0</v>
      </c>
      <c r="S43" s="9">
        <f>'Sept 2023'!S43+'Oct-2023'!R43</f>
        <v>0</v>
      </c>
      <c r="T43" s="10">
        <f t="shared" si="2"/>
        <v>146.49</v>
      </c>
      <c r="U43" s="10">
        <f t="shared" si="3"/>
        <v>3148.9630000000006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'Sept 2023'!H44</f>
        <v>52349.661</v>
      </c>
      <c r="D44" s="15">
        <f t="shared" ref="D44:U44" si="13">SUM(D40:D43)</f>
        <v>212.38</v>
      </c>
      <c r="E44" s="15">
        <f t="shared" si="13"/>
        <v>1400.3200000000002</v>
      </c>
      <c r="F44" s="15">
        <f t="shared" si="13"/>
        <v>0</v>
      </c>
      <c r="G44" s="15">
        <f t="shared" si="13"/>
        <v>0</v>
      </c>
      <c r="H44" s="15">
        <f t="shared" si="13"/>
        <v>52562.040999999997</v>
      </c>
      <c r="I44" s="15">
        <f>'Sept 2023'!N44</f>
        <v>226.8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3"/>
        <v>226.8</v>
      </c>
      <c r="O44" s="41">
        <f>'Sept 2023'!T44</f>
        <v>349.56000000000006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3"/>
        <v>0</v>
      </c>
      <c r="T44" s="15">
        <f t="shared" si="13"/>
        <v>349.56000000000006</v>
      </c>
      <c r="U44" s="15">
        <f t="shared" si="13"/>
        <v>53138.400999999998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'Sept 2023'!H45</f>
        <v>14158.545000000002</v>
      </c>
      <c r="D45" s="9">
        <v>3.84</v>
      </c>
      <c r="E45" s="9">
        <f>'Sept 2023'!E45+'Oct-2023'!D45</f>
        <v>36.72</v>
      </c>
      <c r="F45" s="9">
        <v>0</v>
      </c>
      <c r="G45" s="9">
        <f>'Sept 2023'!G45+'Oct-2023'!F45</f>
        <v>0</v>
      </c>
      <c r="H45" s="9">
        <f t="shared" si="0"/>
        <v>14162.385000000002</v>
      </c>
      <c r="I45" s="9">
        <f>'Sept 2023'!N45</f>
        <v>8.15</v>
      </c>
      <c r="J45" s="9">
        <v>0</v>
      </c>
      <c r="K45" s="9">
        <f>'Sept 2023'!K45+'Oct-2023'!J45</f>
        <v>1.48</v>
      </c>
      <c r="L45" s="9">
        <v>0</v>
      </c>
      <c r="M45" s="9">
        <f>'Sept 2023'!M45+'Oct-2023'!L45</f>
        <v>0</v>
      </c>
      <c r="N45" s="9">
        <f t="shared" si="1"/>
        <v>8.15</v>
      </c>
      <c r="O45" s="10">
        <f>'Sept 2023'!T45</f>
        <v>105.87000000000002</v>
      </c>
      <c r="P45" s="9">
        <v>0</v>
      </c>
      <c r="Q45" s="9">
        <f>'Sept 2023'!Q45+'Oct-2023'!P45</f>
        <v>0</v>
      </c>
      <c r="R45" s="9">
        <v>0</v>
      </c>
      <c r="S45" s="9">
        <f>'Sept 2023'!S45+'Oct-2023'!R45</f>
        <v>0</v>
      </c>
      <c r="T45" s="10">
        <f t="shared" si="2"/>
        <v>105.87000000000002</v>
      </c>
      <c r="U45" s="10">
        <f t="shared" si="3"/>
        <v>14276.405000000002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'Sept 2023'!H46</f>
        <v>7525.2649999999994</v>
      </c>
      <c r="D46" s="9">
        <v>10.039999999999999</v>
      </c>
      <c r="E46" s="9">
        <f>'Sept 2023'!E46+'Oct-2023'!D46</f>
        <v>122.25</v>
      </c>
      <c r="F46" s="9">
        <v>0</v>
      </c>
      <c r="G46" s="9">
        <f>'Sept 2023'!G46+'Oct-2023'!F46</f>
        <v>0</v>
      </c>
      <c r="H46" s="9">
        <f t="shared" si="0"/>
        <v>7535.3049999999994</v>
      </c>
      <c r="I46" s="9">
        <f>'Sept 2023'!N46</f>
        <v>0</v>
      </c>
      <c r="J46" s="9">
        <v>0</v>
      </c>
      <c r="K46" s="9">
        <f>'Sept 2023'!K46+'Oct-2023'!J46</f>
        <v>0</v>
      </c>
      <c r="L46" s="9">
        <v>0</v>
      </c>
      <c r="M46" s="9">
        <f>'Sept 2023'!M46+'Oct-2023'!L46</f>
        <v>0</v>
      </c>
      <c r="N46" s="9">
        <f t="shared" si="1"/>
        <v>0</v>
      </c>
      <c r="O46" s="10">
        <f>'Sept 2023'!T46</f>
        <v>7.5900000000000007</v>
      </c>
      <c r="P46" s="9">
        <v>0</v>
      </c>
      <c r="Q46" s="9">
        <f>'Sept 2023'!Q46+'Oct-2023'!P46</f>
        <v>0</v>
      </c>
      <c r="R46" s="9">
        <v>0</v>
      </c>
      <c r="S46" s="9">
        <f>'Sept 2023'!S46+'Oct-2023'!R46</f>
        <v>0</v>
      </c>
      <c r="T46" s="10">
        <f t="shared" si="2"/>
        <v>7.5900000000000007</v>
      </c>
      <c r="U46" s="10">
        <f t="shared" si="3"/>
        <v>7542.8949999999995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'Sept 2023'!H47</f>
        <v>12306.940000000006</v>
      </c>
      <c r="D47" s="9">
        <v>0.38</v>
      </c>
      <c r="E47" s="9">
        <f>'Sept 2023'!E47+'Oct-2023'!D47</f>
        <v>3.28</v>
      </c>
      <c r="F47" s="9">
        <v>0</v>
      </c>
      <c r="G47" s="9">
        <f>'Sept 2023'!G47+'Oct-2023'!F47</f>
        <v>0</v>
      </c>
      <c r="H47" s="9">
        <f t="shared" si="0"/>
        <v>12307.320000000005</v>
      </c>
      <c r="I47" s="9">
        <f>'Sept 2023'!N47</f>
        <v>1.2999999999999998</v>
      </c>
      <c r="J47" s="9">
        <v>0</v>
      </c>
      <c r="K47" s="9">
        <f>'Sept 2023'!K47+'Oct-2023'!J47</f>
        <v>0</v>
      </c>
      <c r="L47" s="9">
        <v>0</v>
      </c>
      <c r="M47" s="9">
        <f>'Sept 2023'!M47+'Oct-2023'!L47</f>
        <v>0</v>
      </c>
      <c r="N47" s="9">
        <f t="shared" si="1"/>
        <v>1.2999999999999998</v>
      </c>
      <c r="O47" s="10">
        <f>'Sept 2023'!T47</f>
        <v>86.18</v>
      </c>
      <c r="P47" s="9">
        <v>0</v>
      </c>
      <c r="Q47" s="9">
        <f>'Sept 2023'!Q47+'Oct-2023'!P47</f>
        <v>0</v>
      </c>
      <c r="R47" s="9">
        <v>0</v>
      </c>
      <c r="S47" s="9">
        <f>'Sept 2023'!S47+'Oct-2023'!R47</f>
        <v>0</v>
      </c>
      <c r="T47" s="10">
        <f t="shared" si="2"/>
        <v>86.18</v>
      </c>
      <c r="U47" s="10">
        <f t="shared" si="3"/>
        <v>12394.800000000005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'Sept 2023'!H48</f>
        <v>11112.902000000007</v>
      </c>
      <c r="D48" s="9">
        <v>0.88</v>
      </c>
      <c r="E48" s="9">
        <f>'Sept 2023'!E48+'Oct-2023'!D48</f>
        <v>6.57</v>
      </c>
      <c r="F48" s="9">
        <v>0</v>
      </c>
      <c r="G48" s="9">
        <f>'Sept 2023'!G48+'Oct-2023'!F48</f>
        <v>0</v>
      </c>
      <c r="H48" s="9">
        <f t="shared" si="0"/>
        <v>11113.782000000007</v>
      </c>
      <c r="I48" s="9">
        <f>'Sept 2023'!N48</f>
        <v>0</v>
      </c>
      <c r="J48" s="9">
        <v>0</v>
      </c>
      <c r="K48" s="9">
        <f>'Sept 2023'!K48+'Oct-2023'!J48</f>
        <v>0</v>
      </c>
      <c r="L48" s="9">
        <v>0</v>
      </c>
      <c r="M48" s="9">
        <f>'Sept 2023'!M48+'Oct-2023'!L48</f>
        <v>0</v>
      </c>
      <c r="N48" s="9">
        <f t="shared" si="1"/>
        <v>0</v>
      </c>
      <c r="O48" s="10">
        <f>'Sept 2023'!T48</f>
        <v>30.53</v>
      </c>
      <c r="P48" s="9">
        <v>0</v>
      </c>
      <c r="Q48" s="9">
        <f>'Sept 2023'!Q48+'Oct-2023'!P48</f>
        <v>0</v>
      </c>
      <c r="R48" s="9">
        <v>0</v>
      </c>
      <c r="S48" s="9">
        <f>'Sept 2023'!S48+'Oct-2023'!R48</f>
        <v>0</v>
      </c>
      <c r="T48" s="10">
        <f t="shared" si="2"/>
        <v>30.53</v>
      </c>
      <c r="U48" s="10">
        <f t="shared" si="3"/>
        <v>11144.312000000007</v>
      </c>
      <c r="V48" s="75"/>
      <c r="W48" s="11"/>
    </row>
    <row r="49" spans="1:23" s="16" customFormat="1" ht="42.75" customHeight="1">
      <c r="A49" s="13"/>
      <c r="B49" s="14" t="s">
        <v>57</v>
      </c>
      <c r="C49" s="15">
        <f>'Sept 2023'!H49</f>
        <v>45103.652000000016</v>
      </c>
      <c r="D49" s="15">
        <f t="shared" ref="D49:U49" si="14">SUM(D45:D48)</f>
        <v>15.14</v>
      </c>
      <c r="E49" s="15">
        <f t="shared" si="14"/>
        <v>168.82</v>
      </c>
      <c r="F49" s="15">
        <f t="shared" si="14"/>
        <v>0</v>
      </c>
      <c r="G49" s="15">
        <f t="shared" si="14"/>
        <v>0</v>
      </c>
      <c r="H49" s="15">
        <f t="shared" si="14"/>
        <v>45118.792000000016</v>
      </c>
      <c r="I49" s="15">
        <f>'Sept 2023'!N49</f>
        <v>9.4499999999999993</v>
      </c>
      <c r="J49" s="15">
        <f t="shared" si="14"/>
        <v>0</v>
      </c>
      <c r="K49" s="15">
        <f t="shared" si="14"/>
        <v>1.48</v>
      </c>
      <c r="L49" s="15">
        <f t="shared" si="14"/>
        <v>0</v>
      </c>
      <c r="M49" s="15">
        <f t="shared" si="14"/>
        <v>0</v>
      </c>
      <c r="N49" s="15">
        <f t="shared" si="14"/>
        <v>9.4499999999999993</v>
      </c>
      <c r="O49" s="41">
        <f>'Sept 2023'!T49</f>
        <v>230.17000000000004</v>
      </c>
      <c r="P49" s="15">
        <f t="shared" si="14"/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  <c r="T49" s="15">
        <f t="shared" si="14"/>
        <v>230.17000000000004</v>
      </c>
      <c r="U49" s="15">
        <f t="shared" si="14"/>
        <v>45358.412000000011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'Sept 2023'!H50</f>
        <v>97453.313000000024</v>
      </c>
      <c r="D50" s="15">
        <f t="shared" ref="D50:U50" si="15">D44+D49</f>
        <v>227.51999999999998</v>
      </c>
      <c r="E50" s="15">
        <f t="shared" si="15"/>
        <v>1569.14</v>
      </c>
      <c r="F50" s="15">
        <f t="shared" si="15"/>
        <v>0</v>
      </c>
      <c r="G50" s="15">
        <f t="shared" si="15"/>
        <v>0</v>
      </c>
      <c r="H50" s="15">
        <f t="shared" si="15"/>
        <v>97680.833000000013</v>
      </c>
      <c r="I50" s="15">
        <f>'Sept 2023'!N50</f>
        <v>236.25</v>
      </c>
      <c r="J50" s="15">
        <f t="shared" si="15"/>
        <v>0</v>
      </c>
      <c r="K50" s="15">
        <f t="shared" si="15"/>
        <v>1.48</v>
      </c>
      <c r="L50" s="15">
        <f t="shared" si="15"/>
        <v>0</v>
      </c>
      <c r="M50" s="15">
        <f t="shared" si="15"/>
        <v>0</v>
      </c>
      <c r="N50" s="15">
        <f t="shared" si="15"/>
        <v>236.25</v>
      </c>
      <c r="O50" s="41">
        <f>'Sept 2023'!T50</f>
        <v>579.73000000000013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579.73000000000013</v>
      </c>
      <c r="U50" s="15">
        <f t="shared" si="15"/>
        <v>98496.813000000009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'Sept 2023'!H51</f>
        <v>179199.55900000004</v>
      </c>
      <c r="D51" s="15">
        <f t="shared" ref="D51:U51" si="16">D25+D39+D50</f>
        <v>1110.77</v>
      </c>
      <c r="E51" s="15">
        <f t="shared" si="16"/>
        <v>7688.5930000000008</v>
      </c>
      <c r="F51" s="15">
        <f t="shared" si="16"/>
        <v>0</v>
      </c>
      <c r="G51" s="15">
        <f t="shared" si="16"/>
        <v>120.55000000000001</v>
      </c>
      <c r="H51" s="37">
        <f t="shared" si="16"/>
        <v>180310.32900000003</v>
      </c>
      <c r="I51" s="15">
        <f>'Sept 2023'!N51</f>
        <v>2961.3360000000002</v>
      </c>
      <c r="J51" s="15">
        <f t="shared" si="16"/>
        <v>14.52</v>
      </c>
      <c r="K51" s="15">
        <f t="shared" si="16"/>
        <v>160.09700000000001</v>
      </c>
      <c r="L51" s="15">
        <f t="shared" si="16"/>
        <v>10.34</v>
      </c>
      <c r="M51" s="15">
        <f t="shared" si="16"/>
        <v>10.72</v>
      </c>
      <c r="N51" s="37">
        <f t="shared" si="16"/>
        <v>2965.5160000000001</v>
      </c>
      <c r="O51" s="41">
        <f>'Sept 2023'!T51</f>
        <v>10234.310000000001</v>
      </c>
      <c r="P51" s="15">
        <f t="shared" si="16"/>
        <v>60.679999999999993</v>
      </c>
      <c r="Q51" s="15">
        <f t="shared" si="16"/>
        <v>1015.746</v>
      </c>
      <c r="R51" s="15">
        <f t="shared" si="16"/>
        <v>0.7</v>
      </c>
      <c r="S51" s="15">
        <f t="shared" si="16"/>
        <v>39.43</v>
      </c>
      <c r="T51" s="37">
        <f t="shared" si="16"/>
        <v>10294.289999999999</v>
      </c>
      <c r="U51" s="15">
        <f t="shared" si="16"/>
        <v>193570.13500000001</v>
      </c>
      <c r="V51" s="40"/>
      <c r="W51" s="40"/>
    </row>
    <row r="52" spans="1:23" s="21" customFormat="1" ht="42.75" hidden="1" customHeight="1">
      <c r="A52" s="18"/>
      <c r="B52" s="19"/>
      <c r="C52" s="9">
        <f>'Sept 2023'!H52</f>
        <v>0</v>
      </c>
      <c r="D52" s="20"/>
      <c r="E52" s="9">
        <f>'Sept 2023'!E52+'Oct-2023'!D52</f>
        <v>0</v>
      </c>
      <c r="F52" s="20"/>
      <c r="G52" s="9">
        <f>'Sept 2023'!G52+'Oct-2023'!F52</f>
        <v>0</v>
      </c>
      <c r="H52" s="9">
        <f t="shared" si="0"/>
        <v>0</v>
      </c>
      <c r="I52" s="9">
        <f>'Sept 2023'!N52</f>
        <v>0</v>
      </c>
      <c r="J52" s="20"/>
      <c r="K52" s="9">
        <f>'Sept 2023'!K52+'Oct-2023'!J52</f>
        <v>0</v>
      </c>
      <c r="L52" s="20"/>
      <c r="M52" s="9"/>
      <c r="N52" s="20"/>
      <c r="O52" s="20"/>
      <c r="P52" s="20"/>
      <c r="Q52" s="9">
        <f>'Sept 2023'!Q52+'Oct-2023'!P52</f>
        <v>0</v>
      </c>
      <c r="R52" s="20"/>
      <c r="S52" s="9">
        <f>'Sept 2023'!S52+'Oct-2023'!R52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'Sept 2023'!H53</f>
        <v>0</v>
      </c>
      <c r="D53" s="20"/>
      <c r="E53" s="9">
        <f>'Sept 2023'!E53+'Oct-2023'!D53</f>
        <v>0</v>
      </c>
      <c r="F53" s="20"/>
      <c r="G53" s="9">
        <f>'Sept 2023'!G53+'Oct-2023'!F53</f>
        <v>0</v>
      </c>
      <c r="H53" s="9">
        <f t="shared" si="0"/>
        <v>0</v>
      </c>
      <c r="I53" s="9">
        <f>'Sept 2023'!N53</f>
        <v>0</v>
      </c>
      <c r="J53" s="20"/>
      <c r="K53" s="9">
        <f>'Sept 2023'!K53+'Oct-2023'!J53</f>
        <v>0</v>
      </c>
      <c r="L53" s="20"/>
      <c r="M53" s="9"/>
      <c r="N53" s="20"/>
      <c r="O53" s="20"/>
      <c r="P53" s="22"/>
      <c r="Q53" s="9">
        <f>'Sept 2023'!Q53+'Oct-2023'!P53</f>
        <v>0</v>
      </c>
      <c r="R53" s="20"/>
      <c r="S53" s="9">
        <f>'Sept 2023'!S53+'Oct-2023'!R53</f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9"/>
      <c r="L54" s="20"/>
      <c r="M54" s="22"/>
      <c r="N54" s="20"/>
      <c r="O54" s="20"/>
      <c r="P54" s="22"/>
      <c r="Q54" s="24"/>
      <c r="R54" s="20"/>
      <c r="S54" s="22"/>
      <c r="T54" s="23"/>
      <c r="U54" s="20"/>
      <c r="V54" s="20"/>
      <c r="W54" s="20"/>
    </row>
    <row r="55" spans="1:23" s="43" customFormat="1" ht="30">
      <c r="A55" s="76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1174.93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8693.7360000000008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193570.13500000004</v>
      </c>
      <c r="I58" s="30"/>
      <c r="J58" s="30"/>
      <c r="K58" s="30"/>
      <c r="L58" s="31"/>
      <c r="M58" s="31"/>
      <c r="N58" s="32" t="e">
        <f>#REF!+'Oct-2023'!H56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#REF!+'Oct-2023'!H56</f>
        <v>#REF!</v>
      </c>
      <c r="K59" s="30"/>
      <c r="L59" s="35" t="e">
        <f>#REF!+'Oct-2023'!H56</f>
        <v>#REF!</v>
      </c>
      <c r="M59" s="30"/>
      <c r="O59" s="11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D56:G56"/>
    <mergeCell ref="D57:G57"/>
    <mergeCell ref="D58:G58"/>
    <mergeCell ref="P5:Q5"/>
    <mergeCell ref="R5:S5"/>
    <mergeCell ref="A55:K5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0"/>
  <sheetViews>
    <sheetView topLeftCell="A46" zoomScale="50" zoomScaleNormal="50" zoomScaleSheetLayoutView="25" workbookViewId="0">
      <selection activeCell="A55" sqref="A55:XFD55"/>
    </sheetView>
  </sheetViews>
  <sheetFormatPr defaultRowHeight="33"/>
  <cols>
    <col min="1" max="1" width="16.7109375" style="2" customWidth="1"/>
    <col min="2" max="2" width="45.5703125" style="29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2" width="41.42578125" style="4" customWidth="1"/>
    <col min="23" max="23" width="26" style="4" customWidth="1"/>
    <col min="24" max="16384" width="9.140625" style="2"/>
  </cols>
  <sheetData>
    <row r="1" spans="1:18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"/>
      <c r="W1" s="1"/>
    </row>
    <row r="2" spans="1:183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"/>
      <c r="W2" s="1"/>
    </row>
    <row r="3" spans="1:183" ht="35.25" customHeight="1">
      <c r="A3" s="72" t="s">
        <v>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183" s="5" customFormat="1" ht="32.25" customHeight="1">
      <c r="A4" s="72" t="s">
        <v>1</v>
      </c>
      <c r="B4" s="72" t="s">
        <v>2</v>
      </c>
      <c r="C4" s="72" t="s">
        <v>3</v>
      </c>
      <c r="D4" s="72"/>
      <c r="E4" s="72"/>
      <c r="F4" s="72"/>
      <c r="G4" s="72"/>
      <c r="H4" s="72"/>
      <c r="I4" s="72" t="s">
        <v>4</v>
      </c>
      <c r="J4" s="73"/>
      <c r="K4" s="73"/>
      <c r="L4" s="73"/>
      <c r="M4" s="73"/>
      <c r="N4" s="73"/>
      <c r="O4" s="72" t="s">
        <v>5</v>
      </c>
      <c r="P4" s="73"/>
      <c r="Q4" s="73"/>
      <c r="R4" s="73"/>
      <c r="S4" s="73"/>
      <c r="T4" s="73"/>
      <c r="U4" s="3"/>
      <c r="V4" s="4"/>
      <c r="W4" s="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</row>
    <row r="5" spans="1:183" s="5" customFormat="1" ht="41.25" customHeight="1">
      <c r="A5" s="72"/>
      <c r="B5" s="72"/>
      <c r="C5" s="72" t="s">
        <v>6</v>
      </c>
      <c r="D5" s="72" t="s">
        <v>7</v>
      </c>
      <c r="E5" s="72"/>
      <c r="F5" s="72" t="s">
        <v>8</v>
      </c>
      <c r="G5" s="72"/>
      <c r="H5" s="72" t="s">
        <v>9</v>
      </c>
      <c r="I5" s="72" t="s">
        <v>6</v>
      </c>
      <c r="J5" s="72" t="s">
        <v>7</v>
      </c>
      <c r="K5" s="72"/>
      <c r="L5" s="72" t="s">
        <v>8</v>
      </c>
      <c r="M5" s="72"/>
      <c r="N5" s="72" t="s">
        <v>9</v>
      </c>
      <c r="O5" s="72" t="s">
        <v>10</v>
      </c>
      <c r="P5" s="72" t="s">
        <v>7</v>
      </c>
      <c r="Q5" s="72"/>
      <c r="R5" s="72" t="s">
        <v>8</v>
      </c>
      <c r="S5" s="72"/>
      <c r="T5" s="72" t="s">
        <v>9</v>
      </c>
      <c r="U5" s="72" t="s">
        <v>11</v>
      </c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83" s="5" customFormat="1" ht="60" customHeight="1">
      <c r="A6" s="72"/>
      <c r="B6" s="72"/>
      <c r="C6" s="72"/>
      <c r="D6" s="38" t="s">
        <v>12</v>
      </c>
      <c r="E6" s="38" t="s">
        <v>13</v>
      </c>
      <c r="F6" s="38" t="s">
        <v>12</v>
      </c>
      <c r="G6" s="38" t="s">
        <v>13</v>
      </c>
      <c r="H6" s="72"/>
      <c r="I6" s="72"/>
      <c r="J6" s="6" t="s">
        <v>12</v>
      </c>
      <c r="K6" s="38" t="s">
        <v>13</v>
      </c>
      <c r="L6" s="38" t="s">
        <v>12</v>
      </c>
      <c r="M6" s="38" t="s">
        <v>13</v>
      </c>
      <c r="N6" s="72"/>
      <c r="O6" s="72"/>
      <c r="P6" s="38" t="s">
        <v>12</v>
      </c>
      <c r="Q6" s="38" t="s">
        <v>13</v>
      </c>
      <c r="R6" s="38" t="s">
        <v>12</v>
      </c>
      <c r="S6" s="38" t="s">
        <v>13</v>
      </c>
      <c r="T6" s="72"/>
      <c r="U6" s="72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</row>
    <row r="7" spans="1:183" ht="42.75" customHeight="1">
      <c r="A7" s="7">
        <v>1</v>
      </c>
      <c r="B7" s="8" t="s">
        <v>14</v>
      </c>
      <c r="C7" s="9">
        <f>'Oct-2023'!H7</f>
        <v>83.970000000000653</v>
      </c>
      <c r="D7" s="9">
        <v>0</v>
      </c>
      <c r="E7" s="9">
        <f>'Oct-2023'!E7+'Nov 2023'!D7</f>
        <v>0</v>
      </c>
      <c r="F7" s="9">
        <v>0</v>
      </c>
      <c r="G7" s="9">
        <f>'Oct-2023'!G7+'Nov 2023'!F7</f>
        <v>0</v>
      </c>
      <c r="H7" s="9">
        <f>C7+D7-F7</f>
        <v>83.970000000000653</v>
      </c>
      <c r="I7" s="9">
        <f>'Oct-2023'!N7</f>
        <v>209.81599999999997</v>
      </c>
      <c r="J7" s="9">
        <v>0.375</v>
      </c>
      <c r="K7" s="9">
        <f>'Oct-2023'!K7+'Nov 2023'!J7</f>
        <v>35.320000000000007</v>
      </c>
      <c r="L7" s="9">
        <v>0</v>
      </c>
      <c r="M7" s="9">
        <f>'Oct-2023'!M7+'Nov 2023'!L7</f>
        <v>0</v>
      </c>
      <c r="N7" s="9">
        <f>I7+J7-L7</f>
        <v>210.19099999999997</v>
      </c>
      <c r="O7" s="10">
        <f>'Oct-2023'!T7</f>
        <v>264.90000000000009</v>
      </c>
      <c r="P7" s="9">
        <v>0</v>
      </c>
      <c r="Q7" s="9">
        <f>'Oct-2023'!Q7+'Nov 2023'!P7</f>
        <v>0</v>
      </c>
      <c r="R7" s="9">
        <v>0</v>
      </c>
      <c r="S7" s="9">
        <f>'Oct-2023'!S7+'Nov 2023'!R7</f>
        <v>19.239999999999998</v>
      </c>
      <c r="T7" s="10">
        <f>O7+P7-R7</f>
        <v>264.90000000000009</v>
      </c>
      <c r="U7" s="10">
        <f>H7+N7+T7</f>
        <v>559.06100000000072</v>
      </c>
      <c r="V7" s="11"/>
      <c r="W7" s="11"/>
    </row>
    <row r="8" spans="1:183" ht="42.75" customHeight="1">
      <c r="A8" s="7">
        <v>2</v>
      </c>
      <c r="B8" s="8" t="s">
        <v>15</v>
      </c>
      <c r="C8" s="9">
        <f>'Oct-2023'!H8</f>
        <v>499.29499999999979</v>
      </c>
      <c r="D8" s="9">
        <v>0</v>
      </c>
      <c r="E8" s="9">
        <f>'Oct-2023'!E8+'Nov 2023'!D8</f>
        <v>1.6800000000000002</v>
      </c>
      <c r="F8" s="9">
        <v>0</v>
      </c>
      <c r="G8" s="9">
        <f>'Oct-2023'!G8+'Nov 2023'!F8</f>
        <v>0</v>
      </c>
      <c r="H8" s="9">
        <f t="shared" ref="H8:H53" si="0">C8+D8-F8</f>
        <v>499.29499999999979</v>
      </c>
      <c r="I8" s="9">
        <f>'Oct-2023'!N8</f>
        <v>157.58600000000001</v>
      </c>
      <c r="J8" s="9">
        <v>0.41</v>
      </c>
      <c r="K8" s="9">
        <f>'Oct-2023'!K8+'Nov 2023'!J8</f>
        <v>15.09</v>
      </c>
      <c r="L8" s="9">
        <v>0</v>
      </c>
      <c r="M8" s="9">
        <f>'Oct-2023'!M8+'Nov 2023'!L8</f>
        <v>0</v>
      </c>
      <c r="N8" s="9">
        <f t="shared" ref="N8:N48" si="1">I8+J8-L8</f>
        <v>157.99600000000001</v>
      </c>
      <c r="O8" s="10">
        <f>'Oct-2023'!T8</f>
        <v>222.27000000000004</v>
      </c>
      <c r="P8" s="9">
        <v>0</v>
      </c>
      <c r="Q8" s="9">
        <f>'Oct-2023'!Q8+'Nov 2023'!P8</f>
        <v>0</v>
      </c>
      <c r="R8" s="9">
        <v>0</v>
      </c>
      <c r="S8" s="9">
        <f>'Oct-2023'!S8+'Nov 2023'!R8</f>
        <v>0</v>
      </c>
      <c r="T8" s="10">
        <f t="shared" ref="T8:T48" si="2">O8+P8-R8</f>
        <v>222.27000000000004</v>
      </c>
      <c r="U8" s="10">
        <f t="shared" ref="U8:U48" si="3">H8+N8+T8</f>
        <v>879.56099999999992</v>
      </c>
      <c r="V8" s="11"/>
      <c r="W8" s="11"/>
    </row>
    <row r="9" spans="1:183" ht="42.75" customHeight="1">
      <c r="A9" s="7">
        <v>3</v>
      </c>
      <c r="B9" s="8" t="s">
        <v>16</v>
      </c>
      <c r="C9" s="9">
        <f>'Oct-2023'!H9</f>
        <v>653.9599999999997</v>
      </c>
      <c r="D9" s="9">
        <v>0</v>
      </c>
      <c r="E9" s="9">
        <f>'Oct-2023'!E9+'Nov 2023'!D9</f>
        <v>0</v>
      </c>
      <c r="F9" s="9">
        <v>0</v>
      </c>
      <c r="G9" s="9">
        <f>'Oct-2023'!G9+'Nov 2023'!F9</f>
        <v>0</v>
      </c>
      <c r="H9" s="9">
        <f t="shared" si="0"/>
        <v>653.9599999999997</v>
      </c>
      <c r="I9" s="9">
        <f>'Oct-2023'!N9</f>
        <v>234.40600000000001</v>
      </c>
      <c r="J9" s="9">
        <v>1.52</v>
      </c>
      <c r="K9" s="9">
        <f>'Oct-2023'!K9+'Nov 2023'!J9</f>
        <v>20.419999999999998</v>
      </c>
      <c r="L9" s="9">
        <v>0</v>
      </c>
      <c r="M9" s="9">
        <f>'Oct-2023'!M9+'Nov 2023'!L9</f>
        <v>0</v>
      </c>
      <c r="N9" s="9">
        <f t="shared" si="1"/>
        <v>235.92600000000002</v>
      </c>
      <c r="O9" s="10">
        <f>'Oct-2023'!T9</f>
        <v>698.36999999999978</v>
      </c>
      <c r="P9" s="9">
        <v>37.799999999999997</v>
      </c>
      <c r="Q9" s="9">
        <f>'Oct-2023'!Q9+'Nov 2023'!P9</f>
        <v>469.58</v>
      </c>
      <c r="R9" s="9">
        <v>0</v>
      </c>
      <c r="S9" s="9">
        <f>'Oct-2023'!S9+'Nov 2023'!R9</f>
        <v>0</v>
      </c>
      <c r="T9" s="10">
        <f>O9+P9-R9</f>
        <v>736.16999999999973</v>
      </c>
      <c r="U9" s="10">
        <f t="shared" si="3"/>
        <v>1626.0559999999996</v>
      </c>
      <c r="V9" s="11"/>
      <c r="W9" s="11"/>
    </row>
    <row r="10" spans="1:183" ht="42.75" customHeight="1">
      <c r="A10" s="7">
        <v>4</v>
      </c>
      <c r="B10" s="12" t="s">
        <v>17</v>
      </c>
      <c r="C10" s="9">
        <f>'Oct-2023'!H10</f>
        <v>0</v>
      </c>
      <c r="D10" s="9">
        <v>0</v>
      </c>
      <c r="E10" s="9">
        <f>'Oct-2023'!E10+'Nov 2023'!D10</f>
        <v>0</v>
      </c>
      <c r="F10" s="9">
        <v>0</v>
      </c>
      <c r="G10" s="9">
        <f>'Oct-2023'!G10+'Nov 2023'!F10</f>
        <v>0</v>
      </c>
      <c r="H10" s="9">
        <f t="shared" si="0"/>
        <v>0</v>
      </c>
      <c r="I10" s="9">
        <f>'Oct-2023'!N10</f>
        <v>147.89700000000008</v>
      </c>
      <c r="J10" s="9">
        <v>7.4999999999999997E-2</v>
      </c>
      <c r="K10" s="9">
        <f>'Oct-2023'!K10+'Nov 2023'!J10</f>
        <v>0.747</v>
      </c>
      <c r="L10" s="9">
        <v>0</v>
      </c>
      <c r="M10" s="9">
        <f>'Oct-2023'!M10+'Nov 2023'!L10</f>
        <v>0</v>
      </c>
      <c r="N10" s="9">
        <f t="shared" si="1"/>
        <v>147.97200000000007</v>
      </c>
      <c r="O10" s="10">
        <f>'Oct-2023'!T10</f>
        <v>234.27999999999997</v>
      </c>
      <c r="P10" s="9">
        <v>0</v>
      </c>
      <c r="Q10" s="9">
        <f>'Oct-2023'!Q10+'Nov 2023'!P10</f>
        <v>0</v>
      </c>
      <c r="R10" s="9">
        <v>0</v>
      </c>
      <c r="S10" s="9">
        <f>'Oct-2023'!S10+'Nov 2023'!R10</f>
        <v>0</v>
      </c>
      <c r="T10" s="10">
        <f t="shared" si="2"/>
        <v>234.27999999999997</v>
      </c>
      <c r="U10" s="10">
        <f t="shared" si="3"/>
        <v>382.25200000000007</v>
      </c>
      <c r="V10" s="11"/>
      <c r="W10" s="11"/>
    </row>
    <row r="11" spans="1:183" s="16" customFormat="1" ht="42.75" customHeight="1">
      <c r="A11" s="13"/>
      <c r="B11" s="14" t="s">
        <v>18</v>
      </c>
      <c r="C11" s="15">
        <f>'Oct-2023'!H11</f>
        <v>1237.2250000000001</v>
      </c>
      <c r="D11" s="15">
        <f t="shared" ref="D11:U11" si="4">SUM(D7:D10)</f>
        <v>0</v>
      </c>
      <c r="E11" s="15">
        <f t="shared" si="4"/>
        <v>1.6800000000000002</v>
      </c>
      <c r="F11" s="15">
        <f t="shared" si="4"/>
        <v>0</v>
      </c>
      <c r="G11" s="15">
        <f t="shared" si="4"/>
        <v>0</v>
      </c>
      <c r="H11" s="15">
        <f t="shared" si="4"/>
        <v>1237.2250000000001</v>
      </c>
      <c r="I11" s="15">
        <f>'Oct-2023'!N11</f>
        <v>749.70500000000004</v>
      </c>
      <c r="J11" s="15">
        <f t="shared" si="4"/>
        <v>2.38</v>
      </c>
      <c r="K11" s="15">
        <f t="shared" si="4"/>
        <v>71.577000000000012</v>
      </c>
      <c r="L11" s="15">
        <f t="shared" si="4"/>
        <v>0</v>
      </c>
      <c r="M11" s="15">
        <f t="shared" si="4"/>
        <v>0</v>
      </c>
      <c r="N11" s="15">
        <f t="shared" si="4"/>
        <v>752.08500000000015</v>
      </c>
      <c r="O11" s="41">
        <f>'Oct-2023'!T11</f>
        <v>1419.82</v>
      </c>
      <c r="P11" s="15">
        <f t="shared" si="4"/>
        <v>37.799999999999997</v>
      </c>
      <c r="Q11" s="15">
        <f t="shared" si="4"/>
        <v>469.58</v>
      </c>
      <c r="R11" s="15">
        <f t="shared" si="4"/>
        <v>0</v>
      </c>
      <c r="S11" s="15">
        <f t="shared" si="4"/>
        <v>19.239999999999998</v>
      </c>
      <c r="T11" s="15">
        <f t="shared" si="4"/>
        <v>1457.62</v>
      </c>
      <c r="U11" s="15">
        <f t="shared" si="4"/>
        <v>3446.9300000000003</v>
      </c>
      <c r="V11" s="40"/>
      <c r="W11" s="40"/>
    </row>
    <row r="12" spans="1:183" ht="42.75" customHeight="1">
      <c r="A12" s="7">
        <v>5</v>
      </c>
      <c r="B12" s="8" t="s">
        <v>19</v>
      </c>
      <c r="C12" s="9">
        <f>'Oct-2023'!H12</f>
        <v>218.88999999999885</v>
      </c>
      <c r="D12" s="9">
        <v>0</v>
      </c>
      <c r="E12" s="9">
        <f>'Oct-2023'!E12+'Nov 2023'!D12</f>
        <v>0</v>
      </c>
      <c r="F12" s="9">
        <v>7.2</v>
      </c>
      <c r="G12" s="9">
        <f>'Oct-2023'!G12+'Nov 2023'!F12</f>
        <v>7.2</v>
      </c>
      <c r="H12" s="9">
        <f t="shared" si="0"/>
        <v>211.68999999999886</v>
      </c>
      <c r="I12" s="9">
        <f>'Oct-2023'!N12</f>
        <v>93.862999999999985</v>
      </c>
      <c r="J12" s="9">
        <v>0.31</v>
      </c>
      <c r="K12" s="9">
        <f>'Oct-2023'!K12+'Nov 2023'!J12</f>
        <v>4.29</v>
      </c>
      <c r="L12" s="9">
        <v>0</v>
      </c>
      <c r="M12" s="9">
        <f>'Oct-2023'!M12+'Nov 2023'!L12</f>
        <v>0</v>
      </c>
      <c r="N12" s="9">
        <f t="shared" si="1"/>
        <v>94.172999999999988</v>
      </c>
      <c r="O12" s="10">
        <f>'Oct-2023'!T12</f>
        <v>1548.3899999999999</v>
      </c>
      <c r="P12" s="9">
        <v>21.75</v>
      </c>
      <c r="Q12" s="9">
        <f>'Oct-2023'!Q12+'Nov 2023'!P12</f>
        <v>22.12</v>
      </c>
      <c r="R12" s="9">
        <v>0</v>
      </c>
      <c r="S12" s="9">
        <f>'Oct-2023'!S12+'Nov 2023'!R12</f>
        <v>0</v>
      </c>
      <c r="T12" s="10">
        <f t="shared" si="2"/>
        <v>1570.1399999999999</v>
      </c>
      <c r="U12" s="10">
        <f t="shared" si="3"/>
        <v>1876.0029999999988</v>
      </c>
      <c r="V12" s="11"/>
      <c r="W12" s="11"/>
    </row>
    <row r="13" spans="1:183" ht="42.75" customHeight="1">
      <c r="A13" s="7">
        <v>6</v>
      </c>
      <c r="B13" s="8" t="s">
        <v>20</v>
      </c>
      <c r="C13" s="9">
        <f>'Oct-2023'!H13</f>
        <v>1023.7699999999998</v>
      </c>
      <c r="D13" s="9">
        <v>0</v>
      </c>
      <c r="E13" s="9">
        <f>'Oct-2023'!E13+'Nov 2023'!D13</f>
        <v>0</v>
      </c>
      <c r="F13" s="9">
        <v>0</v>
      </c>
      <c r="G13" s="9">
        <f>'Oct-2023'!G13+'Nov 2023'!F13</f>
        <v>0</v>
      </c>
      <c r="H13" s="9">
        <f t="shared" si="0"/>
        <v>1023.7699999999998</v>
      </c>
      <c r="I13" s="9">
        <f>'Oct-2023'!N13</f>
        <v>162.91400000000007</v>
      </c>
      <c r="J13" s="9">
        <v>0.62</v>
      </c>
      <c r="K13" s="9">
        <f>'Oct-2023'!K13+'Nov 2023'!J13</f>
        <v>6.589999999999999</v>
      </c>
      <c r="L13" s="9">
        <v>0</v>
      </c>
      <c r="M13" s="9">
        <f>'Oct-2023'!M13+'Nov 2023'!L13</f>
        <v>0.72</v>
      </c>
      <c r="N13" s="9">
        <f t="shared" si="1"/>
        <v>163.53400000000008</v>
      </c>
      <c r="O13" s="10">
        <f>'Oct-2023'!T13</f>
        <v>87.23</v>
      </c>
      <c r="P13" s="9">
        <v>0</v>
      </c>
      <c r="Q13" s="9">
        <f>'Oct-2023'!Q13+'Nov 2023'!P13</f>
        <v>0.03</v>
      </c>
      <c r="R13" s="9">
        <v>0</v>
      </c>
      <c r="S13" s="9">
        <f>'Oct-2023'!S13+'Nov 2023'!R13</f>
        <v>0</v>
      </c>
      <c r="T13" s="10">
        <f t="shared" si="2"/>
        <v>87.23</v>
      </c>
      <c r="U13" s="10">
        <f t="shared" si="3"/>
        <v>1274.5339999999999</v>
      </c>
      <c r="V13" s="11"/>
      <c r="W13" s="11"/>
    </row>
    <row r="14" spans="1:183" ht="42.75" customHeight="1">
      <c r="A14" s="7">
        <v>7</v>
      </c>
      <c r="B14" s="8" t="s">
        <v>21</v>
      </c>
      <c r="C14" s="9">
        <f>'Oct-2023'!H14</f>
        <v>2084.0799999999995</v>
      </c>
      <c r="D14" s="9">
        <v>0</v>
      </c>
      <c r="E14" s="9">
        <f>'Oct-2023'!E14+'Nov 2023'!D14</f>
        <v>0</v>
      </c>
      <c r="F14" s="9">
        <v>8.2799999999999994</v>
      </c>
      <c r="G14" s="9">
        <f>'Oct-2023'!G14+'Nov 2023'!F14</f>
        <v>8.7799999999999994</v>
      </c>
      <c r="H14" s="9">
        <f t="shared" si="0"/>
        <v>2075.7999999999993</v>
      </c>
      <c r="I14" s="9">
        <f>'Oct-2023'!N14</f>
        <v>208.904</v>
      </c>
      <c r="J14" s="9">
        <v>0.78</v>
      </c>
      <c r="K14" s="9">
        <f>'Oct-2023'!K14+'Nov 2023'!J14</f>
        <v>8.83</v>
      </c>
      <c r="L14" s="9">
        <v>0</v>
      </c>
      <c r="M14" s="9">
        <f>'Oct-2023'!M14+'Nov 2023'!L14</f>
        <v>8.2799999999999994</v>
      </c>
      <c r="N14" s="9">
        <f t="shared" si="1"/>
        <v>209.684</v>
      </c>
      <c r="O14" s="10">
        <f>'Oct-2023'!T14</f>
        <v>412.78999999999991</v>
      </c>
      <c r="P14" s="9">
        <v>0.18</v>
      </c>
      <c r="Q14" s="9">
        <f>'Oct-2023'!Q14+'Nov 2023'!P14</f>
        <v>9.39</v>
      </c>
      <c r="R14" s="9">
        <v>0</v>
      </c>
      <c r="S14" s="9">
        <f>'Oct-2023'!S14+'Nov 2023'!R14</f>
        <v>0</v>
      </c>
      <c r="T14" s="10">
        <f t="shared" si="2"/>
        <v>412.96999999999991</v>
      </c>
      <c r="U14" s="10">
        <f t="shared" si="3"/>
        <v>2698.4539999999993</v>
      </c>
      <c r="V14" s="11"/>
      <c r="W14" s="11"/>
    </row>
    <row r="15" spans="1:183" s="16" customFormat="1" ht="42.75" customHeight="1">
      <c r="A15" s="13" t="s">
        <v>22</v>
      </c>
      <c r="B15" s="14" t="s">
        <v>23</v>
      </c>
      <c r="C15" s="15">
        <f>'Oct-2023'!H15</f>
        <v>3326.739999999998</v>
      </c>
      <c r="D15" s="15">
        <f t="shared" ref="D15:U15" si="5">SUM(D12:D14)</f>
        <v>0</v>
      </c>
      <c r="E15" s="15">
        <f t="shared" si="5"/>
        <v>0</v>
      </c>
      <c r="F15" s="15">
        <f t="shared" si="5"/>
        <v>15.48</v>
      </c>
      <c r="G15" s="15">
        <f t="shared" si="5"/>
        <v>15.98</v>
      </c>
      <c r="H15" s="15">
        <f t="shared" si="5"/>
        <v>3311.2599999999979</v>
      </c>
      <c r="I15" s="15">
        <f>'Oct-2023'!N15</f>
        <v>465.68100000000004</v>
      </c>
      <c r="J15" s="15">
        <f t="shared" si="5"/>
        <v>1.71</v>
      </c>
      <c r="K15" s="15">
        <f t="shared" si="5"/>
        <v>19.71</v>
      </c>
      <c r="L15" s="15">
        <f t="shared" si="5"/>
        <v>0</v>
      </c>
      <c r="M15" s="15">
        <f t="shared" si="5"/>
        <v>9</v>
      </c>
      <c r="N15" s="15">
        <f t="shared" si="5"/>
        <v>467.39100000000008</v>
      </c>
      <c r="O15" s="41">
        <f>'Oct-2023'!T15</f>
        <v>2048.41</v>
      </c>
      <c r="P15" s="15">
        <f t="shared" si="5"/>
        <v>21.93</v>
      </c>
      <c r="Q15" s="15">
        <f t="shared" si="5"/>
        <v>31.540000000000003</v>
      </c>
      <c r="R15" s="15">
        <f t="shared" si="5"/>
        <v>0</v>
      </c>
      <c r="S15" s="15">
        <f t="shared" si="5"/>
        <v>0</v>
      </c>
      <c r="T15" s="15">
        <f t="shared" si="5"/>
        <v>2070.3399999999997</v>
      </c>
      <c r="U15" s="15">
        <f t="shared" si="5"/>
        <v>5848.9909999999982</v>
      </c>
      <c r="V15" s="40"/>
      <c r="W15" s="40"/>
    </row>
    <row r="16" spans="1:183" ht="42.75" customHeight="1">
      <c r="A16" s="7">
        <v>8</v>
      </c>
      <c r="B16" s="8" t="s">
        <v>24</v>
      </c>
      <c r="C16" s="9">
        <f>'Oct-2023'!H16</f>
        <v>1322.2619999999993</v>
      </c>
      <c r="D16" s="9">
        <v>0.21</v>
      </c>
      <c r="E16" s="9">
        <f>'Oct-2023'!E16+'Nov 2023'!D16</f>
        <v>15.14</v>
      </c>
      <c r="F16" s="9">
        <v>0</v>
      </c>
      <c r="G16" s="9">
        <f>'Oct-2023'!G16+'Nov 2023'!F16</f>
        <v>0</v>
      </c>
      <c r="H16" s="9">
        <f t="shared" si="0"/>
        <v>1322.4719999999993</v>
      </c>
      <c r="I16" s="9">
        <f>'Oct-2023'!N16</f>
        <v>117.56000000000004</v>
      </c>
      <c r="J16" s="9">
        <v>1.53</v>
      </c>
      <c r="K16" s="9">
        <f>'Oct-2023'!K16+'Nov 2023'!J16</f>
        <v>5.12</v>
      </c>
      <c r="L16" s="9">
        <v>0</v>
      </c>
      <c r="M16" s="9">
        <f>'Oct-2023'!M16+'Nov 2023'!L16</f>
        <v>0</v>
      </c>
      <c r="N16" s="9">
        <f t="shared" si="1"/>
        <v>119.09000000000005</v>
      </c>
      <c r="O16" s="10">
        <f>'Oct-2023'!T16</f>
        <v>972.31900000000007</v>
      </c>
      <c r="P16" s="9">
        <v>0.73</v>
      </c>
      <c r="Q16" s="9">
        <f>'Oct-2023'!Q16+'Nov 2023'!P16</f>
        <v>97.8</v>
      </c>
      <c r="R16" s="9">
        <v>0</v>
      </c>
      <c r="S16" s="9">
        <f>'Oct-2023'!S16+'Nov 2023'!R16</f>
        <v>0</v>
      </c>
      <c r="T16" s="9">
        <f t="shared" si="2"/>
        <v>973.04900000000009</v>
      </c>
      <c r="U16" s="10">
        <f t="shared" si="3"/>
        <v>2414.6109999999994</v>
      </c>
      <c r="V16" s="11"/>
      <c r="W16" s="11"/>
    </row>
    <row r="17" spans="1:23" ht="57.75" customHeight="1">
      <c r="A17" s="7">
        <v>9</v>
      </c>
      <c r="B17" s="8" t="s">
        <v>25</v>
      </c>
      <c r="C17" s="9">
        <f>'Oct-2023'!H17</f>
        <v>236.65399999999988</v>
      </c>
      <c r="D17" s="9">
        <v>0</v>
      </c>
      <c r="E17" s="9">
        <f>'Oct-2023'!E17+'Nov 2023'!D17</f>
        <v>0</v>
      </c>
      <c r="F17" s="9">
        <v>0</v>
      </c>
      <c r="G17" s="9">
        <f>'Oct-2023'!G17+'Nov 2023'!F17</f>
        <v>2.7</v>
      </c>
      <c r="H17" s="9">
        <f t="shared" si="0"/>
        <v>236.65399999999988</v>
      </c>
      <c r="I17" s="9">
        <f>'Oct-2023'!N17</f>
        <v>31.236999999999995</v>
      </c>
      <c r="J17" s="9">
        <v>0.2</v>
      </c>
      <c r="K17" s="9">
        <f>'Oct-2023'!K17+'Nov 2023'!J17</f>
        <v>1.74</v>
      </c>
      <c r="L17" s="9">
        <v>0</v>
      </c>
      <c r="M17" s="9">
        <f>'Oct-2023'!M17+'Nov 2023'!L17</f>
        <v>0</v>
      </c>
      <c r="N17" s="9">
        <f t="shared" si="1"/>
        <v>31.436999999999994</v>
      </c>
      <c r="O17" s="10">
        <f>'Oct-2023'!T17</f>
        <v>501.90100000000001</v>
      </c>
      <c r="P17" s="9">
        <v>0</v>
      </c>
      <c r="Q17" s="9">
        <f>'Oct-2023'!Q17+'Nov 2023'!P17</f>
        <v>87.36</v>
      </c>
      <c r="R17" s="9">
        <v>0</v>
      </c>
      <c r="S17" s="9">
        <f>'Oct-2023'!S17+'Nov 2023'!R17</f>
        <v>0</v>
      </c>
      <c r="T17" s="9">
        <f t="shared" si="2"/>
        <v>501.90100000000001</v>
      </c>
      <c r="U17" s="10">
        <f t="shared" si="3"/>
        <v>769.99199999999996</v>
      </c>
      <c r="V17" s="11"/>
      <c r="W17" s="11"/>
    </row>
    <row r="18" spans="1:23" ht="42.75" customHeight="1">
      <c r="A18" s="7">
        <v>10</v>
      </c>
      <c r="B18" s="8" t="s">
        <v>26</v>
      </c>
      <c r="C18" s="9">
        <f>'Oct-2023'!H18</f>
        <v>478.13499999999931</v>
      </c>
      <c r="D18" s="9">
        <v>0</v>
      </c>
      <c r="E18" s="9">
        <f>'Oct-2023'!E18+'Nov 2023'!D18</f>
        <v>0</v>
      </c>
      <c r="F18" s="9">
        <v>0</v>
      </c>
      <c r="G18" s="9">
        <f>'Oct-2023'!G18+'Nov 2023'!F18</f>
        <v>0</v>
      </c>
      <c r="H18" s="9">
        <f t="shared" si="0"/>
        <v>478.13499999999931</v>
      </c>
      <c r="I18" s="9">
        <f>'Oct-2023'!N18</f>
        <v>17.109999999999989</v>
      </c>
      <c r="J18" s="9">
        <v>0.03</v>
      </c>
      <c r="K18" s="9">
        <f>'Oct-2023'!K18+'Nov 2023'!J18</f>
        <v>3.46</v>
      </c>
      <c r="L18" s="9">
        <v>0</v>
      </c>
      <c r="M18" s="9">
        <f>'Oct-2023'!M18+'Nov 2023'!L18</f>
        <v>1.46</v>
      </c>
      <c r="N18" s="9">
        <f t="shared" si="1"/>
        <v>17.13999999999999</v>
      </c>
      <c r="O18" s="10">
        <f>'Oct-2023'!T18</f>
        <v>481.20799999999997</v>
      </c>
      <c r="P18" s="9">
        <v>0</v>
      </c>
      <c r="Q18" s="9">
        <f>'Oct-2023'!Q18+'Nov 2023'!P18</f>
        <v>1.07</v>
      </c>
      <c r="R18" s="9">
        <v>0</v>
      </c>
      <c r="S18" s="9">
        <f>'Oct-2023'!S18+'Nov 2023'!R18</f>
        <v>0.7</v>
      </c>
      <c r="T18" s="9">
        <f t="shared" si="2"/>
        <v>481.20799999999997</v>
      </c>
      <c r="U18" s="10">
        <f t="shared" si="3"/>
        <v>976.48299999999927</v>
      </c>
      <c r="V18" s="11"/>
      <c r="W18" s="11"/>
    </row>
    <row r="19" spans="1:23" s="16" customFormat="1" ht="42.75" customHeight="1">
      <c r="A19" s="13"/>
      <c r="B19" s="14" t="s">
        <v>27</v>
      </c>
      <c r="C19" s="15">
        <f>'Oct-2023'!H19</f>
        <v>2037.0509999999986</v>
      </c>
      <c r="D19" s="15">
        <f t="shared" ref="D19:U19" si="6">SUM(D16:D18)</f>
        <v>0.21</v>
      </c>
      <c r="E19" s="15">
        <f t="shared" si="6"/>
        <v>15.14</v>
      </c>
      <c r="F19" s="15">
        <f t="shared" si="6"/>
        <v>0</v>
      </c>
      <c r="G19" s="15">
        <f t="shared" si="6"/>
        <v>2.7</v>
      </c>
      <c r="H19" s="15">
        <f t="shared" si="6"/>
        <v>2037.2609999999986</v>
      </c>
      <c r="I19" s="15">
        <f>'Oct-2023'!N19</f>
        <v>165.90700000000001</v>
      </c>
      <c r="J19" s="15">
        <f t="shared" si="6"/>
        <v>1.76</v>
      </c>
      <c r="K19" s="15">
        <f t="shared" si="6"/>
        <v>10.32</v>
      </c>
      <c r="L19" s="15">
        <f t="shared" si="6"/>
        <v>0</v>
      </c>
      <c r="M19" s="15">
        <f t="shared" si="6"/>
        <v>1.46</v>
      </c>
      <c r="N19" s="15">
        <f t="shared" si="6"/>
        <v>167.66700000000003</v>
      </c>
      <c r="O19" s="41">
        <f>'Oct-2023'!T19</f>
        <v>1955.4279999999999</v>
      </c>
      <c r="P19" s="15">
        <f t="shared" si="6"/>
        <v>0.73</v>
      </c>
      <c r="Q19" s="15">
        <f t="shared" si="6"/>
        <v>186.23</v>
      </c>
      <c r="R19" s="15">
        <f t="shared" si="6"/>
        <v>0</v>
      </c>
      <c r="S19" s="15">
        <f t="shared" si="6"/>
        <v>0.7</v>
      </c>
      <c r="T19" s="15">
        <f t="shared" si="6"/>
        <v>1956.1579999999999</v>
      </c>
      <c r="U19" s="15">
        <f t="shared" si="6"/>
        <v>4161.0859999999984</v>
      </c>
      <c r="V19" s="40"/>
      <c r="W19" s="40"/>
    </row>
    <row r="20" spans="1:23" ht="42.75" customHeight="1">
      <c r="A20" s="7">
        <v>11</v>
      </c>
      <c r="B20" s="8" t="s">
        <v>28</v>
      </c>
      <c r="C20" s="9">
        <f>'Oct-2023'!H20</f>
        <v>1024.4549999999992</v>
      </c>
      <c r="D20" s="9">
        <v>0</v>
      </c>
      <c r="E20" s="9">
        <f>'Oct-2023'!E20+'Nov 2023'!D20</f>
        <v>0</v>
      </c>
      <c r="F20" s="9">
        <v>0</v>
      </c>
      <c r="G20" s="9">
        <f>'Oct-2023'!G20+'Nov 2023'!F20</f>
        <v>0</v>
      </c>
      <c r="H20" s="9">
        <f t="shared" si="0"/>
        <v>1024.4549999999992</v>
      </c>
      <c r="I20" s="9">
        <f>'Oct-2023'!N20</f>
        <v>157.26100000000014</v>
      </c>
      <c r="J20" s="9">
        <v>0.13</v>
      </c>
      <c r="K20" s="9">
        <f>'Oct-2023'!K20+'Nov 2023'!J20</f>
        <v>2.15</v>
      </c>
      <c r="L20" s="9">
        <v>0</v>
      </c>
      <c r="M20" s="9">
        <f>'Oct-2023'!M20+'Nov 2023'!L20</f>
        <v>0</v>
      </c>
      <c r="N20" s="9">
        <f t="shared" si="1"/>
        <v>157.39100000000013</v>
      </c>
      <c r="O20" s="10">
        <f>'Oct-2023'!T20</f>
        <v>744.62099999999987</v>
      </c>
      <c r="P20" s="9">
        <v>0.23</v>
      </c>
      <c r="Q20" s="9">
        <f>'Oct-2023'!Q20+'Nov 2023'!P20</f>
        <v>2.13</v>
      </c>
      <c r="R20" s="9">
        <v>0</v>
      </c>
      <c r="S20" s="9">
        <f>'Oct-2023'!S20+'Nov 2023'!R20</f>
        <v>0</v>
      </c>
      <c r="T20" s="10">
        <f t="shared" si="2"/>
        <v>744.85099999999989</v>
      </c>
      <c r="U20" s="10">
        <f t="shared" si="3"/>
        <v>1926.6969999999992</v>
      </c>
      <c r="V20" s="11"/>
      <c r="W20" s="11"/>
    </row>
    <row r="21" spans="1:23" ht="42.75" customHeight="1">
      <c r="A21" s="7">
        <v>12</v>
      </c>
      <c r="B21" s="8" t="s">
        <v>29</v>
      </c>
      <c r="C21" s="9">
        <f>'Oct-2023'!H21</f>
        <v>52.019999999999882</v>
      </c>
      <c r="D21" s="9">
        <v>0</v>
      </c>
      <c r="E21" s="9">
        <f>'Oct-2023'!E21+'Nov 2023'!D21</f>
        <v>0</v>
      </c>
      <c r="F21" s="9">
        <v>0</v>
      </c>
      <c r="G21" s="9">
        <f>'Oct-2023'!G21+'Nov 2023'!F21</f>
        <v>90.67</v>
      </c>
      <c r="H21" s="9">
        <f t="shared" si="0"/>
        <v>52.019999999999882</v>
      </c>
      <c r="I21" s="9">
        <f>'Oct-2023'!N21</f>
        <v>56.453000000000017</v>
      </c>
      <c r="J21" s="9">
        <v>0</v>
      </c>
      <c r="K21" s="9">
        <f>'Oct-2023'!K21+'Nov 2023'!J21</f>
        <v>3.6700000000000004</v>
      </c>
      <c r="L21" s="9">
        <v>0</v>
      </c>
      <c r="M21" s="9">
        <f>'Oct-2023'!M21+'Nov 2023'!L21</f>
        <v>0</v>
      </c>
      <c r="N21" s="9">
        <f t="shared" si="1"/>
        <v>56.453000000000017</v>
      </c>
      <c r="O21" s="10">
        <f>'Oct-2023'!T21</f>
        <v>315.22999999999996</v>
      </c>
      <c r="P21" s="9">
        <v>0</v>
      </c>
      <c r="Q21" s="9">
        <f>'Oct-2023'!Q21+'Nov 2023'!P21</f>
        <v>6.81</v>
      </c>
      <c r="R21" s="9">
        <v>0</v>
      </c>
      <c r="S21" s="9">
        <f>'Oct-2023'!S21+'Nov 2023'!R21</f>
        <v>2.48</v>
      </c>
      <c r="T21" s="10">
        <f t="shared" si="2"/>
        <v>315.22999999999996</v>
      </c>
      <c r="U21" s="10">
        <f t="shared" si="3"/>
        <v>423.70299999999986</v>
      </c>
      <c r="V21" s="11"/>
      <c r="W21" s="11"/>
    </row>
    <row r="22" spans="1:23" ht="42.75" customHeight="1">
      <c r="A22" s="7">
        <v>13</v>
      </c>
      <c r="B22" s="8" t="s">
        <v>30</v>
      </c>
      <c r="C22" s="9">
        <f>'Oct-2023'!H22</f>
        <v>27.069999999999879</v>
      </c>
      <c r="D22" s="9">
        <v>0</v>
      </c>
      <c r="E22" s="9">
        <f>'Oct-2023'!E22+'Nov 2023'!D22</f>
        <v>0</v>
      </c>
      <c r="F22" s="9">
        <v>0</v>
      </c>
      <c r="G22" s="9">
        <f>'Oct-2023'!G22+'Nov 2023'!F22</f>
        <v>0</v>
      </c>
      <c r="H22" s="9">
        <f t="shared" si="0"/>
        <v>27.069999999999879</v>
      </c>
      <c r="I22" s="9">
        <f>'Oct-2023'!N22</f>
        <v>15.960000000000004</v>
      </c>
      <c r="J22" s="9">
        <v>0.3</v>
      </c>
      <c r="K22" s="9">
        <f>'Oct-2023'!K22+'Nov 2023'!J22</f>
        <v>0.32</v>
      </c>
      <c r="L22" s="9">
        <v>0</v>
      </c>
      <c r="M22" s="9">
        <f>'Oct-2023'!M22+'Nov 2023'!L22</f>
        <v>0</v>
      </c>
      <c r="N22" s="9">
        <f t="shared" si="1"/>
        <v>16.260000000000005</v>
      </c>
      <c r="O22" s="10">
        <f>'Oct-2023'!T22</f>
        <v>776.59999999999968</v>
      </c>
      <c r="P22" s="9">
        <v>0</v>
      </c>
      <c r="Q22" s="9">
        <f>'Oct-2023'!Q22+'Nov 2023'!P22</f>
        <v>0.56999999999999995</v>
      </c>
      <c r="R22" s="9">
        <v>0</v>
      </c>
      <c r="S22" s="9">
        <f>'Oct-2023'!S22+'Nov 2023'!R22</f>
        <v>0</v>
      </c>
      <c r="T22" s="10">
        <f t="shared" si="2"/>
        <v>776.59999999999968</v>
      </c>
      <c r="U22" s="10">
        <f t="shared" si="3"/>
        <v>819.92999999999961</v>
      </c>
      <c r="V22" s="11"/>
      <c r="W22" s="11"/>
    </row>
    <row r="23" spans="1:23" ht="42.75" customHeight="1">
      <c r="A23" s="7">
        <v>14</v>
      </c>
      <c r="B23" s="8" t="s">
        <v>31</v>
      </c>
      <c r="C23" s="9">
        <f>'Oct-2023'!H23</f>
        <v>1146.8519999999999</v>
      </c>
      <c r="D23" s="9">
        <v>0.78</v>
      </c>
      <c r="E23" s="9">
        <f>'Oct-2023'!E23+'Nov 2023'!D23</f>
        <v>14.429999999999998</v>
      </c>
      <c r="F23" s="9">
        <v>0</v>
      </c>
      <c r="G23" s="9">
        <f>'Oct-2023'!G23+'Nov 2023'!F23</f>
        <v>0</v>
      </c>
      <c r="H23" s="9">
        <f t="shared" si="0"/>
        <v>1147.6319999999998</v>
      </c>
      <c r="I23" s="9">
        <f>'Oct-2023'!N23</f>
        <v>55.053999999999988</v>
      </c>
      <c r="J23" s="9">
        <v>0.26</v>
      </c>
      <c r="K23" s="9">
        <f>'Oct-2023'!K23+'Nov 2023'!J23</f>
        <v>5.1099999999999985</v>
      </c>
      <c r="L23" s="9">
        <v>0</v>
      </c>
      <c r="M23" s="9">
        <f>'Oct-2023'!M23+'Nov 2023'!L23</f>
        <v>0</v>
      </c>
      <c r="N23" s="9">
        <f t="shared" si="1"/>
        <v>55.313999999999986</v>
      </c>
      <c r="O23" s="10">
        <f>'Oct-2023'!T23</f>
        <v>413.90499999999997</v>
      </c>
      <c r="P23" s="9">
        <v>0.56000000000000005</v>
      </c>
      <c r="Q23" s="9">
        <f>'Oct-2023'!Q23+'Nov 2023'!P23</f>
        <v>9.6300000000000008</v>
      </c>
      <c r="R23" s="9">
        <v>0</v>
      </c>
      <c r="S23" s="9">
        <f>'Oct-2023'!S23+'Nov 2023'!R23</f>
        <v>0</v>
      </c>
      <c r="T23" s="10">
        <f t="shared" si="2"/>
        <v>414.46499999999997</v>
      </c>
      <c r="U23" s="10">
        <f t="shared" si="3"/>
        <v>1617.4109999999998</v>
      </c>
      <c r="V23" s="11"/>
      <c r="W23" s="11"/>
    </row>
    <row r="24" spans="1:23" s="16" customFormat="1" ht="42.75" customHeight="1">
      <c r="A24" s="13"/>
      <c r="B24" s="14" t="s">
        <v>32</v>
      </c>
      <c r="C24" s="15">
        <f>'Oct-2023'!H24</f>
        <v>2250.396999999999</v>
      </c>
      <c r="D24" s="15">
        <f t="shared" ref="D24:U24" si="7">SUM(D20:D23)</f>
        <v>0.78</v>
      </c>
      <c r="E24" s="15">
        <f t="shared" si="7"/>
        <v>14.429999999999998</v>
      </c>
      <c r="F24" s="15">
        <f t="shared" si="7"/>
        <v>0</v>
      </c>
      <c r="G24" s="15">
        <f t="shared" si="7"/>
        <v>90.67</v>
      </c>
      <c r="H24" s="15">
        <f t="shared" si="7"/>
        <v>2251.1769999999988</v>
      </c>
      <c r="I24" s="15">
        <f>'Oct-2023'!N24</f>
        <v>284.72800000000018</v>
      </c>
      <c r="J24" s="15">
        <f t="shared" si="7"/>
        <v>0.69</v>
      </c>
      <c r="K24" s="15">
        <f t="shared" si="7"/>
        <v>11.25</v>
      </c>
      <c r="L24" s="15">
        <f t="shared" si="7"/>
        <v>0</v>
      </c>
      <c r="M24" s="15">
        <f t="shared" si="7"/>
        <v>0</v>
      </c>
      <c r="N24" s="15">
        <f t="shared" si="7"/>
        <v>285.41800000000012</v>
      </c>
      <c r="O24" s="41">
        <f>'Oct-2023'!T24</f>
        <v>2250.3559999999998</v>
      </c>
      <c r="P24" s="15">
        <f t="shared" si="7"/>
        <v>0.79</v>
      </c>
      <c r="Q24" s="15">
        <f t="shared" si="7"/>
        <v>19.14</v>
      </c>
      <c r="R24" s="15">
        <f t="shared" si="7"/>
        <v>0</v>
      </c>
      <c r="S24" s="15">
        <f t="shared" si="7"/>
        <v>2.48</v>
      </c>
      <c r="T24" s="15">
        <f t="shared" si="7"/>
        <v>2251.1459999999997</v>
      </c>
      <c r="U24" s="15">
        <f t="shared" si="7"/>
        <v>4787.7409999999991</v>
      </c>
      <c r="V24" s="40"/>
      <c r="W24" s="40"/>
    </row>
    <row r="25" spans="1:23" s="16" customFormat="1" ht="42.75" customHeight="1">
      <c r="A25" s="13"/>
      <c r="B25" s="14" t="s">
        <v>33</v>
      </c>
      <c r="C25" s="15">
        <f>'Oct-2023'!H25</f>
        <v>8851.4129999999968</v>
      </c>
      <c r="D25" s="15">
        <f t="shared" ref="D25:U25" si="8">D24+D19+D15+D11</f>
        <v>0.99</v>
      </c>
      <c r="E25" s="15">
        <f t="shared" si="8"/>
        <v>31.25</v>
      </c>
      <c r="F25" s="15">
        <f t="shared" si="8"/>
        <v>15.48</v>
      </c>
      <c r="G25" s="15">
        <f t="shared" si="8"/>
        <v>109.35000000000001</v>
      </c>
      <c r="H25" s="15">
        <f t="shared" si="8"/>
        <v>8836.9229999999952</v>
      </c>
      <c r="I25" s="15">
        <f>'Oct-2023'!N25</f>
        <v>1666.0210000000002</v>
      </c>
      <c r="J25" s="15">
        <f t="shared" si="8"/>
        <v>6.54</v>
      </c>
      <c r="K25" s="15">
        <f t="shared" si="8"/>
        <v>112.85700000000001</v>
      </c>
      <c r="L25" s="15">
        <f t="shared" si="8"/>
        <v>0</v>
      </c>
      <c r="M25" s="15">
        <f t="shared" si="8"/>
        <v>10.46</v>
      </c>
      <c r="N25" s="15">
        <f t="shared" si="8"/>
        <v>1672.5610000000004</v>
      </c>
      <c r="O25" s="41">
        <f>'Oct-2023'!T25</f>
        <v>7674.0139999999992</v>
      </c>
      <c r="P25" s="15">
        <f t="shared" si="8"/>
        <v>61.25</v>
      </c>
      <c r="Q25" s="15">
        <f t="shared" si="8"/>
        <v>706.49</v>
      </c>
      <c r="R25" s="15">
        <f t="shared" si="8"/>
        <v>0</v>
      </c>
      <c r="S25" s="15">
        <f t="shared" si="8"/>
        <v>22.419999999999998</v>
      </c>
      <c r="T25" s="15">
        <f t="shared" si="8"/>
        <v>7735.2640000000001</v>
      </c>
      <c r="U25" s="15">
        <f t="shared" si="8"/>
        <v>18244.747999999996</v>
      </c>
      <c r="V25" s="40"/>
      <c r="W25" s="40"/>
    </row>
    <row r="26" spans="1:23" ht="42.75" customHeight="1">
      <c r="A26" s="7">
        <v>15</v>
      </c>
      <c r="B26" s="8" t="s">
        <v>34</v>
      </c>
      <c r="C26" s="9">
        <f>'Oct-2023'!H26</f>
        <v>1299.4019999999998</v>
      </c>
      <c r="D26" s="9">
        <v>5.76</v>
      </c>
      <c r="E26" s="9">
        <f>'Oct-2023'!E26+'Nov 2023'!D26</f>
        <v>67.180000000000007</v>
      </c>
      <c r="F26" s="9">
        <v>0</v>
      </c>
      <c r="G26" s="9">
        <f>'Oct-2023'!G26+'Nov 2023'!F26</f>
        <v>0.02</v>
      </c>
      <c r="H26" s="9">
        <f t="shared" si="0"/>
        <v>1305.1619999999998</v>
      </c>
      <c r="I26" s="9">
        <f>'Oct-2023'!N26</f>
        <v>0.76</v>
      </c>
      <c r="J26" s="9">
        <v>0</v>
      </c>
      <c r="K26" s="9">
        <f>'Oct-2023'!K26+'Nov 2023'!J26</f>
        <v>0.65</v>
      </c>
      <c r="L26" s="9">
        <v>0</v>
      </c>
      <c r="M26" s="9">
        <f>'Oct-2023'!M26+'Nov 2023'!L26</f>
        <v>0</v>
      </c>
      <c r="N26" s="9">
        <f t="shared" si="1"/>
        <v>0.76</v>
      </c>
      <c r="O26" s="10">
        <f>'Oct-2023'!T26</f>
        <v>206.56000000000003</v>
      </c>
      <c r="P26" s="9">
        <v>0.1</v>
      </c>
      <c r="Q26" s="9">
        <f>'Oct-2023'!Q26+'Nov 2023'!P26</f>
        <v>2.9299999999999997</v>
      </c>
      <c r="R26" s="9">
        <v>0</v>
      </c>
      <c r="S26" s="9">
        <f>'Oct-2023'!S26+'Nov 2023'!R26</f>
        <v>0</v>
      </c>
      <c r="T26" s="10">
        <f t="shared" si="2"/>
        <v>206.66000000000003</v>
      </c>
      <c r="U26" s="10">
        <f t="shared" si="3"/>
        <v>1512.5819999999999</v>
      </c>
      <c r="V26" s="75"/>
      <c r="W26" s="11"/>
    </row>
    <row r="27" spans="1:23" ht="42.75" customHeight="1">
      <c r="A27" s="7">
        <v>16</v>
      </c>
      <c r="B27" s="8" t="s">
        <v>35</v>
      </c>
      <c r="C27" s="9">
        <f>'Oct-2023'!H27</f>
        <v>10478.296999999995</v>
      </c>
      <c r="D27" s="9">
        <v>11.18</v>
      </c>
      <c r="E27" s="9">
        <f>'Oct-2023'!E27+'Nov 2023'!D27</f>
        <v>75.319999999999993</v>
      </c>
      <c r="F27" s="9">
        <v>0</v>
      </c>
      <c r="G27" s="9">
        <f>'Oct-2023'!G27+'Nov 2023'!F27</f>
        <v>0</v>
      </c>
      <c r="H27" s="9">
        <f t="shared" si="0"/>
        <v>10489.476999999995</v>
      </c>
      <c r="I27" s="9">
        <f>'Oct-2023'!N27</f>
        <v>429.41499999999996</v>
      </c>
      <c r="J27" s="9">
        <v>2.4</v>
      </c>
      <c r="K27" s="9">
        <f>'Oct-2023'!K27+'Nov 2023'!J27</f>
        <v>23.38</v>
      </c>
      <c r="L27" s="9">
        <v>0</v>
      </c>
      <c r="M27" s="9">
        <f>'Oct-2023'!M27+'Nov 2023'!L27</f>
        <v>0</v>
      </c>
      <c r="N27" s="9">
        <f t="shared" si="1"/>
        <v>431.81499999999994</v>
      </c>
      <c r="O27" s="10">
        <f>'Oct-2023'!T27</f>
        <v>45.770000000000017</v>
      </c>
      <c r="P27" s="9">
        <v>0.1</v>
      </c>
      <c r="Q27" s="9">
        <f>'Oct-2023'!Q27+'Nov 2023'!P27</f>
        <v>2.35</v>
      </c>
      <c r="R27" s="9">
        <v>0</v>
      </c>
      <c r="S27" s="9">
        <f>'Oct-2023'!S27+'Nov 2023'!R27</f>
        <v>0</v>
      </c>
      <c r="T27" s="10">
        <f t="shared" si="2"/>
        <v>45.870000000000019</v>
      </c>
      <c r="U27" s="10">
        <f t="shared" si="3"/>
        <v>10967.161999999997</v>
      </c>
      <c r="V27" s="75"/>
      <c r="W27" s="11"/>
    </row>
    <row r="28" spans="1:23" s="16" customFormat="1" ht="42.75" customHeight="1">
      <c r="A28" s="13"/>
      <c r="B28" s="14" t="s">
        <v>36</v>
      </c>
      <c r="C28" s="15">
        <f>'Oct-2023'!H28</f>
        <v>11777.698999999995</v>
      </c>
      <c r="D28" s="15">
        <f t="shared" ref="D28:U28" si="9">SUM(D26:D27)</f>
        <v>16.939999999999998</v>
      </c>
      <c r="E28" s="15">
        <f t="shared" si="9"/>
        <v>142.5</v>
      </c>
      <c r="F28" s="15">
        <f t="shared" si="9"/>
        <v>0</v>
      </c>
      <c r="G28" s="15">
        <f t="shared" si="9"/>
        <v>0.02</v>
      </c>
      <c r="H28" s="15">
        <f t="shared" si="9"/>
        <v>11794.638999999996</v>
      </c>
      <c r="I28" s="15">
        <f>'Oct-2023'!N28</f>
        <v>430.17499999999995</v>
      </c>
      <c r="J28" s="15">
        <f t="shared" si="9"/>
        <v>2.4</v>
      </c>
      <c r="K28" s="15">
        <f t="shared" si="9"/>
        <v>24.029999999999998</v>
      </c>
      <c r="L28" s="15">
        <f t="shared" si="9"/>
        <v>0</v>
      </c>
      <c r="M28" s="15">
        <f t="shared" si="9"/>
        <v>0</v>
      </c>
      <c r="N28" s="15">
        <f t="shared" si="9"/>
        <v>432.57499999999993</v>
      </c>
      <c r="O28" s="41">
        <f>'Oct-2023'!T28</f>
        <v>252.33000000000004</v>
      </c>
      <c r="P28" s="15">
        <f t="shared" si="9"/>
        <v>0.2</v>
      </c>
      <c r="Q28" s="15">
        <f t="shared" si="9"/>
        <v>5.2799999999999994</v>
      </c>
      <c r="R28" s="15">
        <f t="shared" si="9"/>
        <v>0</v>
      </c>
      <c r="S28" s="15">
        <f t="shared" si="9"/>
        <v>0</v>
      </c>
      <c r="T28" s="15">
        <f t="shared" si="9"/>
        <v>252.53000000000003</v>
      </c>
      <c r="U28" s="15">
        <f t="shared" si="9"/>
        <v>12479.743999999997</v>
      </c>
      <c r="V28" s="40"/>
      <c r="W28" s="40"/>
    </row>
    <row r="29" spans="1:23" ht="42.75" customHeight="1">
      <c r="A29" s="7">
        <v>17</v>
      </c>
      <c r="B29" s="8" t="s">
        <v>37</v>
      </c>
      <c r="C29" s="9">
        <f>'Oct-2023'!H29</f>
        <v>4645.8090000000011</v>
      </c>
      <c r="D29" s="9">
        <v>7.0179999999999998</v>
      </c>
      <c r="E29" s="9">
        <f>'Oct-2023'!E29+'Nov 2023'!D29</f>
        <v>101.788</v>
      </c>
      <c r="F29" s="9">
        <v>0</v>
      </c>
      <c r="G29" s="9">
        <f>'Oct-2023'!G29+'Nov 2023'!F29</f>
        <v>0</v>
      </c>
      <c r="H29" s="9">
        <f t="shared" si="0"/>
        <v>4652.8270000000011</v>
      </c>
      <c r="I29" s="9">
        <f>'Oct-2023'!N29</f>
        <v>185.37</v>
      </c>
      <c r="J29" s="9">
        <v>0</v>
      </c>
      <c r="K29" s="9">
        <f>'Oct-2023'!K29+'Nov 2023'!J29</f>
        <v>0.67</v>
      </c>
      <c r="L29" s="9">
        <v>0</v>
      </c>
      <c r="M29" s="9">
        <f>'Oct-2023'!M29+'Nov 2023'!L29</f>
        <v>0</v>
      </c>
      <c r="N29" s="9">
        <f t="shared" si="1"/>
        <v>185.37</v>
      </c>
      <c r="O29" s="10">
        <f>'Oct-2023'!T29</f>
        <v>766.12599999999986</v>
      </c>
      <c r="P29" s="9">
        <v>7.67</v>
      </c>
      <c r="Q29" s="9">
        <f>'Oct-2023'!Q29+'Nov 2023'!P29</f>
        <v>256.52599999999995</v>
      </c>
      <c r="R29" s="9">
        <v>0</v>
      </c>
      <c r="S29" s="9">
        <f>'Oct-2023'!S29+'Nov 2023'!R29</f>
        <v>0</v>
      </c>
      <c r="T29" s="10">
        <f t="shared" si="2"/>
        <v>773.79599999999982</v>
      </c>
      <c r="U29" s="10">
        <f t="shared" si="3"/>
        <v>5611.9930000000004</v>
      </c>
      <c r="V29" s="11"/>
      <c r="W29" s="11"/>
    </row>
    <row r="30" spans="1:23" ht="42.75" customHeight="1">
      <c r="A30" s="7">
        <v>18</v>
      </c>
      <c r="B30" s="8" t="s">
        <v>38</v>
      </c>
      <c r="C30" s="9">
        <f>'Oct-2023'!H30</f>
        <v>6547.4220000000014</v>
      </c>
      <c r="D30" s="9">
        <v>5.88</v>
      </c>
      <c r="E30" s="9">
        <f>'Oct-2023'!E30+'Nov 2023'!D30</f>
        <v>102.30999999999999</v>
      </c>
      <c r="F30" s="9">
        <v>0</v>
      </c>
      <c r="G30" s="9">
        <f>'Oct-2023'!G30+'Nov 2023'!F30</f>
        <v>0</v>
      </c>
      <c r="H30" s="9">
        <f t="shared" si="0"/>
        <v>6553.3020000000015</v>
      </c>
      <c r="I30" s="9">
        <f>'Oct-2023'!N30</f>
        <v>134.93</v>
      </c>
      <c r="J30" s="9">
        <v>0</v>
      </c>
      <c r="K30" s="9">
        <f>'Oct-2023'!K30+'Nov 2023'!J30</f>
        <v>4.13</v>
      </c>
      <c r="L30" s="9">
        <v>0</v>
      </c>
      <c r="M30" s="9">
        <f>'Oct-2023'!M30+'Nov 2023'!L30</f>
        <v>0</v>
      </c>
      <c r="N30" s="9">
        <f t="shared" si="1"/>
        <v>134.93</v>
      </c>
      <c r="O30" s="10">
        <f>'Oct-2023'!T30</f>
        <v>311.12</v>
      </c>
      <c r="P30" s="9">
        <v>0</v>
      </c>
      <c r="Q30" s="9">
        <f>'Oct-2023'!Q30+'Nov 2023'!P30</f>
        <v>116.33999999999999</v>
      </c>
      <c r="R30" s="9">
        <v>0</v>
      </c>
      <c r="S30" s="9">
        <f>'Oct-2023'!S30+'Nov 2023'!R30</f>
        <v>0</v>
      </c>
      <c r="T30" s="10">
        <f t="shared" si="2"/>
        <v>311.12</v>
      </c>
      <c r="U30" s="10">
        <f t="shared" si="3"/>
        <v>6999.3520000000017</v>
      </c>
      <c r="V30" s="11"/>
      <c r="W30" s="11"/>
    </row>
    <row r="31" spans="1:23" ht="42.75" customHeight="1">
      <c r="A31" s="7">
        <v>19</v>
      </c>
      <c r="B31" s="8" t="s">
        <v>39</v>
      </c>
      <c r="C31" s="9">
        <f>'Oct-2023'!H31</f>
        <v>3153.5179999999996</v>
      </c>
      <c r="D31" s="9">
        <v>4.32</v>
      </c>
      <c r="E31" s="9">
        <f>'Oct-2023'!E31+'Nov 2023'!D31</f>
        <v>29.483000000000004</v>
      </c>
      <c r="F31" s="9">
        <v>0</v>
      </c>
      <c r="G31" s="9">
        <f>'Oct-2023'!G31+'Nov 2023'!F31</f>
        <v>0</v>
      </c>
      <c r="H31" s="9">
        <f t="shared" si="0"/>
        <v>3157.8379999999997</v>
      </c>
      <c r="I31" s="9">
        <f>'Oct-2023'!N31</f>
        <v>50.180000000000007</v>
      </c>
      <c r="J31" s="9">
        <v>0</v>
      </c>
      <c r="K31" s="9">
        <f>'Oct-2023'!K31+'Nov 2023'!J31</f>
        <v>0</v>
      </c>
      <c r="L31" s="9">
        <v>0</v>
      </c>
      <c r="M31" s="9">
        <f>'Oct-2023'!M31+'Nov 2023'!L31</f>
        <v>0</v>
      </c>
      <c r="N31" s="9">
        <f t="shared" si="1"/>
        <v>50.180000000000007</v>
      </c>
      <c r="O31" s="10">
        <f>'Oct-2023'!T31</f>
        <v>244.44</v>
      </c>
      <c r="P31" s="9">
        <v>0</v>
      </c>
      <c r="Q31" s="9">
        <f>'Oct-2023'!Q31+'Nov 2023'!P31</f>
        <v>0</v>
      </c>
      <c r="R31" s="9">
        <v>0</v>
      </c>
      <c r="S31" s="9">
        <f>'Oct-2023'!S31+'Nov 2023'!R31</f>
        <v>0</v>
      </c>
      <c r="T31" s="10">
        <f t="shared" si="2"/>
        <v>244.44</v>
      </c>
      <c r="U31" s="10">
        <f t="shared" si="3"/>
        <v>3452.4579999999996</v>
      </c>
      <c r="V31" s="11"/>
      <c r="W31" s="11"/>
    </row>
    <row r="32" spans="1:23" ht="42.75" customHeight="1">
      <c r="A32" s="7">
        <v>20</v>
      </c>
      <c r="B32" s="8" t="s">
        <v>40</v>
      </c>
      <c r="C32" s="9">
        <f>'Oct-2023'!H32</f>
        <v>4427.9299999999994</v>
      </c>
      <c r="D32" s="9">
        <v>5.25</v>
      </c>
      <c r="E32" s="9">
        <f>'Oct-2023'!E32+'Nov 2023'!D32</f>
        <v>31.9</v>
      </c>
      <c r="F32" s="9">
        <v>0</v>
      </c>
      <c r="G32" s="9">
        <f>'Oct-2023'!G32+'Nov 2023'!F32</f>
        <v>0</v>
      </c>
      <c r="H32" s="9">
        <f t="shared" si="0"/>
        <v>4433.1799999999994</v>
      </c>
      <c r="I32" s="9">
        <f>'Oct-2023'!N32</f>
        <v>251.98999999999995</v>
      </c>
      <c r="J32" s="9">
        <v>1.1060000000000001</v>
      </c>
      <c r="K32" s="9">
        <f>'Oct-2023'!K32+'Nov 2023'!J32</f>
        <v>26.716000000000005</v>
      </c>
      <c r="L32" s="9">
        <v>0</v>
      </c>
      <c r="M32" s="9">
        <f>'Oct-2023'!M32+'Nov 2023'!L32</f>
        <v>0</v>
      </c>
      <c r="N32" s="9">
        <f t="shared" si="1"/>
        <v>253.09599999999995</v>
      </c>
      <c r="O32" s="10">
        <f>'Oct-2023'!T32</f>
        <v>243.69999999999996</v>
      </c>
      <c r="P32" s="9">
        <v>0.06</v>
      </c>
      <c r="Q32" s="9">
        <f>'Oct-2023'!Q32+'Nov 2023'!P32</f>
        <v>0.11</v>
      </c>
      <c r="R32" s="9">
        <v>0</v>
      </c>
      <c r="S32" s="9">
        <f>'Oct-2023'!S32+'Nov 2023'!R32</f>
        <v>0</v>
      </c>
      <c r="T32" s="10">
        <f t="shared" si="2"/>
        <v>243.75999999999996</v>
      </c>
      <c r="U32" s="10">
        <f t="shared" si="3"/>
        <v>4930.0359999999991</v>
      </c>
      <c r="V32" s="11"/>
      <c r="W32" s="11"/>
    </row>
    <row r="33" spans="1:23" s="16" customFormat="1" ht="42.75" customHeight="1">
      <c r="A33" s="13"/>
      <c r="B33" s="14" t="s">
        <v>41</v>
      </c>
      <c r="C33" s="15">
        <f>'Oct-2023'!H33</f>
        <v>18774.679000000004</v>
      </c>
      <c r="D33" s="15">
        <f t="shared" ref="D33:U33" si="10">SUM(D29:D32)</f>
        <v>22.468</v>
      </c>
      <c r="E33" s="15">
        <f t="shared" si="10"/>
        <v>265.48099999999999</v>
      </c>
      <c r="F33" s="15">
        <f t="shared" si="10"/>
        <v>0</v>
      </c>
      <c r="G33" s="15">
        <f t="shared" si="10"/>
        <v>0</v>
      </c>
      <c r="H33" s="15">
        <f t="shared" si="10"/>
        <v>18797.147000000001</v>
      </c>
      <c r="I33" s="15">
        <f>'Oct-2023'!N33</f>
        <v>622.47</v>
      </c>
      <c r="J33" s="15">
        <f t="shared" si="10"/>
        <v>1.1060000000000001</v>
      </c>
      <c r="K33" s="15">
        <f t="shared" si="10"/>
        <v>31.516000000000005</v>
      </c>
      <c r="L33" s="15">
        <f t="shared" si="10"/>
        <v>0</v>
      </c>
      <c r="M33" s="15">
        <f t="shared" si="10"/>
        <v>0</v>
      </c>
      <c r="N33" s="15">
        <f t="shared" si="10"/>
        <v>623.57600000000002</v>
      </c>
      <c r="O33" s="41">
        <f>'Oct-2023'!T33</f>
        <v>1565.386</v>
      </c>
      <c r="P33" s="15">
        <f t="shared" si="10"/>
        <v>7.7299999999999995</v>
      </c>
      <c r="Q33" s="15">
        <f t="shared" si="10"/>
        <v>372.97599999999994</v>
      </c>
      <c r="R33" s="15">
        <f t="shared" si="10"/>
        <v>0</v>
      </c>
      <c r="S33" s="15">
        <f t="shared" si="10"/>
        <v>0</v>
      </c>
      <c r="T33" s="15">
        <f t="shared" si="10"/>
        <v>1573.1159999999998</v>
      </c>
      <c r="U33" s="15">
        <f t="shared" si="10"/>
        <v>20993.839</v>
      </c>
      <c r="V33" s="40"/>
      <c r="W33" s="40"/>
    </row>
    <row r="34" spans="1:23" ht="42.75" customHeight="1">
      <c r="A34" s="7">
        <v>21</v>
      </c>
      <c r="B34" s="8" t="s">
        <v>42</v>
      </c>
      <c r="C34" s="9">
        <f>'Oct-2023'!H34</f>
        <v>6320.9400000000023</v>
      </c>
      <c r="D34" s="9">
        <f>8.18+20.17</f>
        <v>28.35</v>
      </c>
      <c r="E34" s="9">
        <f>'Oct-2023'!E34+'Nov 2023'!D34</f>
        <v>247.93000000000004</v>
      </c>
      <c r="F34" s="9">
        <v>0</v>
      </c>
      <c r="G34" s="9">
        <f>'Oct-2023'!G34+'Nov 2023'!F34</f>
        <v>26.64</v>
      </c>
      <c r="H34" s="9">
        <f t="shared" si="0"/>
        <v>6349.2900000000027</v>
      </c>
      <c r="I34" s="9">
        <f>'Oct-2023'!N34</f>
        <v>2</v>
      </c>
      <c r="J34" s="9">
        <v>0</v>
      </c>
      <c r="K34" s="9">
        <f>'Oct-2023'!K34+'Nov 2023'!J34</f>
        <v>0</v>
      </c>
      <c r="L34" s="9">
        <v>0</v>
      </c>
      <c r="M34" s="9">
        <f>'Oct-2023'!M34+'Nov 2023'!L34</f>
        <v>0</v>
      </c>
      <c r="N34" s="9">
        <f t="shared" si="1"/>
        <v>2</v>
      </c>
      <c r="O34" s="10">
        <f>'Oct-2023'!T34</f>
        <v>21.87</v>
      </c>
      <c r="P34" s="9">
        <v>0.2</v>
      </c>
      <c r="Q34" s="9">
        <f>'Oct-2023'!Q34+'Nov 2023'!P34</f>
        <v>0.38</v>
      </c>
      <c r="R34" s="9">
        <v>0</v>
      </c>
      <c r="S34" s="9">
        <f>'Oct-2023'!S34+'Nov 2023'!R34</f>
        <v>17.010000000000002</v>
      </c>
      <c r="T34" s="10">
        <f t="shared" si="2"/>
        <v>22.07</v>
      </c>
      <c r="U34" s="10">
        <f t="shared" si="3"/>
        <v>6373.3600000000024</v>
      </c>
      <c r="V34" s="17"/>
      <c r="W34" s="17"/>
    </row>
    <row r="35" spans="1:23" ht="42.75" customHeight="1">
      <c r="A35" s="7">
        <v>22</v>
      </c>
      <c r="B35" s="8" t="s">
        <v>43</v>
      </c>
      <c r="C35" s="9">
        <f>'Oct-2023'!H35</f>
        <v>8112.8550000000014</v>
      </c>
      <c r="D35" s="9">
        <f>22.57+437.5</f>
        <v>460.07</v>
      </c>
      <c r="E35" s="9">
        <f>'Oct-2023'!E35+'Nov 2023'!D35</f>
        <v>3663.16</v>
      </c>
      <c r="F35" s="9">
        <v>0</v>
      </c>
      <c r="G35" s="9">
        <f>'Oct-2023'!G35+'Nov 2023'!F35</f>
        <v>0</v>
      </c>
      <c r="H35" s="9">
        <f t="shared" si="0"/>
        <v>8572.9250000000011</v>
      </c>
      <c r="I35" s="9">
        <f>'Oct-2023'!N35</f>
        <v>0.1</v>
      </c>
      <c r="J35" s="9">
        <v>0</v>
      </c>
      <c r="K35" s="9">
        <f>'Oct-2023'!K35+'Nov 2023'!J35</f>
        <v>0</v>
      </c>
      <c r="L35" s="9">
        <v>0</v>
      </c>
      <c r="M35" s="9">
        <f>'Oct-2023'!M35+'Nov 2023'!L35</f>
        <v>0</v>
      </c>
      <c r="N35" s="9">
        <f t="shared" si="1"/>
        <v>0.1</v>
      </c>
      <c r="O35" s="10">
        <f>'Oct-2023'!T35</f>
        <v>125.47000000000001</v>
      </c>
      <c r="P35" s="9">
        <v>0</v>
      </c>
      <c r="Q35" s="9">
        <f>'Oct-2023'!Q35+'Nov 2023'!P35</f>
        <v>0</v>
      </c>
      <c r="R35" s="9">
        <v>0</v>
      </c>
      <c r="S35" s="9">
        <f>'Oct-2023'!S35+'Nov 2023'!R35</f>
        <v>0</v>
      </c>
      <c r="T35" s="10">
        <f t="shared" si="2"/>
        <v>125.47000000000001</v>
      </c>
      <c r="U35" s="10">
        <f t="shared" si="3"/>
        <v>8698.4950000000008</v>
      </c>
      <c r="V35" s="17"/>
      <c r="W35" s="17"/>
    </row>
    <row r="36" spans="1:23" ht="42.75" customHeight="1">
      <c r="A36" s="7">
        <v>23</v>
      </c>
      <c r="B36" s="8" t="s">
        <v>44</v>
      </c>
      <c r="C36" s="9">
        <f>'Oct-2023'!H36</f>
        <v>21740.040000000005</v>
      </c>
      <c r="D36" s="9">
        <f>6.77+305.38</f>
        <v>312.14999999999998</v>
      </c>
      <c r="E36" s="9">
        <f>'Oct-2023'!E36+'Nov 2023'!D36</f>
        <v>2583.17</v>
      </c>
      <c r="F36" s="9">
        <v>0</v>
      </c>
      <c r="G36" s="9">
        <f>'Oct-2023'!G36+'Nov 2023'!F36</f>
        <v>0</v>
      </c>
      <c r="H36" s="9">
        <f t="shared" si="0"/>
        <v>22052.190000000006</v>
      </c>
      <c r="I36" s="9">
        <f>'Oct-2023'!N36</f>
        <v>8.5</v>
      </c>
      <c r="J36" s="9">
        <v>0</v>
      </c>
      <c r="K36" s="9">
        <f>'Oct-2023'!K36+'Nov 2023'!J36</f>
        <v>0.26</v>
      </c>
      <c r="L36" s="9">
        <v>0</v>
      </c>
      <c r="M36" s="9">
        <f>'Oct-2023'!M36+'Nov 2023'!L36</f>
        <v>0.26</v>
      </c>
      <c r="N36" s="9">
        <f t="shared" si="1"/>
        <v>8.5</v>
      </c>
      <c r="O36" s="10">
        <f>'Oct-2023'!T36</f>
        <v>72.39</v>
      </c>
      <c r="P36" s="9">
        <v>0</v>
      </c>
      <c r="Q36" s="9">
        <f>'Oct-2023'!Q36+'Nov 2023'!P36</f>
        <v>0</v>
      </c>
      <c r="R36" s="9">
        <v>0</v>
      </c>
      <c r="S36" s="9">
        <f>'Oct-2023'!S36+'Nov 2023'!R36</f>
        <v>0</v>
      </c>
      <c r="T36" s="10">
        <f t="shared" si="2"/>
        <v>72.39</v>
      </c>
      <c r="U36" s="10">
        <f t="shared" si="3"/>
        <v>22133.080000000005</v>
      </c>
      <c r="V36" s="17"/>
      <c r="W36" s="17"/>
    </row>
    <row r="37" spans="1:23" ht="42.75" customHeight="1">
      <c r="A37" s="7">
        <v>24</v>
      </c>
      <c r="B37" s="8" t="s">
        <v>45</v>
      </c>
      <c r="C37" s="9">
        <f>'Oct-2023'!H37</f>
        <v>7051.869999999999</v>
      </c>
      <c r="D37" s="9">
        <v>4.1100000000000003</v>
      </c>
      <c r="E37" s="9">
        <f>'Oct-2023'!E37+'Nov 2023'!D37</f>
        <v>31.04</v>
      </c>
      <c r="F37" s="9">
        <v>0</v>
      </c>
      <c r="G37" s="9">
        <f>'Oct-2023'!G37+'Nov 2023'!F37</f>
        <v>0.02</v>
      </c>
      <c r="H37" s="9">
        <f t="shared" si="0"/>
        <v>7055.9799999999987</v>
      </c>
      <c r="I37" s="9">
        <f>'Oct-2023'!N37</f>
        <v>0</v>
      </c>
      <c r="J37" s="9">
        <v>0</v>
      </c>
      <c r="K37" s="9">
        <f>'Oct-2023'!K37+'Nov 2023'!J37</f>
        <v>0</v>
      </c>
      <c r="L37" s="9">
        <v>0</v>
      </c>
      <c r="M37" s="9">
        <f>'Oct-2023'!M37+'Nov 2023'!L37</f>
        <v>0</v>
      </c>
      <c r="N37" s="9">
        <f t="shared" si="1"/>
        <v>0</v>
      </c>
      <c r="O37" s="10">
        <f>'Oct-2023'!T37</f>
        <v>3.1</v>
      </c>
      <c r="P37" s="9">
        <v>0</v>
      </c>
      <c r="Q37" s="9">
        <f>'Oct-2023'!Q37+'Nov 2023'!P37</f>
        <v>0</v>
      </c>
      <c r="R37" s="9">
        <v>0</v>
      </c>
      <c r="S37" s="9">
        <f>'Oct-2023'!S37+'Nov 2023'!R37</f>
        <v>0</v>
      </c>
      <c r="T37" s="10">
        <f t="shared" si="2"/>
        <v>3.1</v>
      </c>
      <c r="U37" s="10">
        <f t="shared" si="3"/>
        <v>7059.079999999999</v>
      </c>
      <c r="V37" s="17"/>
      <c r="W37" s="17"/>
    </row>
    <row r="38" spans="1:23" s="16" customFormat="1" ht="42.75" customHeight="1">
      <c r="A38" s="13"/>
      <c r="B38" s="14" t="s">
        <v>46</v>
      </c>
      <c r="C38" s="15">
        <f>'Oct-2023'!H38</f>
        <v>43225.705000000002</v>
      </c>
      <c r="D38" s="15">
        <f t="shared" ref="D38:U38" si="11">SUM(D34:D37)</f>
        <v>804.68</v>
      </c>
      <c r="E38" s="15">
        <f t="shared" si="11"/>
        <v>6525.3</v>
      </c>
      <c r="F38" s="15">
        <f t="shared" si="11"/>
        <v>0</v>
      </c>
      <c r="G38" s="15">
        <f t="shared" si="11"/>
        <v>26.66</v>
      </c>
      <c r="H38" s="15">
        <f t="shared" si="11"/>
        <v>44030.385000000009</v>
      </c>
      <c r="I38" s="15">
        <f>'Oct-2023'!N38</f>
        <v>10.6</v>
      </c>
      <c r="J38" s="15">
        <f t="shared" si="11"/>
        <v>0</v>
      </c>
      <c r="K38" s="15">
        <f t="shared" si="11"/>
        <v>0.26</v>
      </c>
      <c r="L38" s="15">
        <f t="shared" si="11"/>
        <v>0</v>
      </c>
      <c r="M38" s="15">
        <f t="shared" si="11"/>
        <v>0.26</v>
      </c>
      <c r="N38" s="15">
        <f t="shared" si="11"/>
        <v>10.6</v>
      </c>
      <c r="O38" s="41">
        <f>'Oct-2023'!T38</f>
        <v>222.83</v>
      </c>
      <c r="P38" s="15">
        <f t="shared" si="11"/>
        <v>0.2</v>
      </c>
      <c r="Q38" s="15">
        <f t="shared" si="11"/>
        <v>0.38</v>
      </c>
      <c r="R38" s="15">
        <f t="shared" si="11"/>
        <v>0</v>
      </c>
      <c r="S38" s="15">
        <f t="shared" si="11"/>
        <v>17.010000000000002</v>
      </c>
      <c r="T38" s="15">
        <f t="shared" si="11"/>
        <v>223.03</v>
      </c>
      <c r="U38" s="15">
        <f t="shared" si="11"/>
        <v>44264.015000000014</v>
      </c>
      <c r="V38" s="40"/>
      <c r="W38" s="40"/>
    </row>
    <row r="39" spans="1:23" s="16" customFormat="1" ht="42.75" customHeight="1">
      <c r="A39" s="13"/>
      <c r="B39" s="14" t="s">
        <v>47</v>
      </c>
      <c r="C39" s="15">
        <f>'Oct-2023'!H39</f>
        <v>73778.082999999999</v>
      </c>
      <c r="D39" s="15">
        <f t="shared" ref="D39:U39" si="12">D38+D33+D28</f>
        <v>844.08799999999997</v>
      </c>
      <c r="E39" s="15">
        <f t="shared" si="12"/>
        <v>6933.2809999999999</v>
      </c>
      <c r="F39" s="15">
        <f t="shared" si="12"/>
        <v>0</v>
      </c>
      <c r="G39" s="15">
        <f t="shared" si="12"/>
        <v>26.68</v>
      </c>
      <c r="H39" s="15">
        <f t="shared" si="12"/>
        <v>74622.171000000002</v>
      </c>
      <c r="I39" s="15">
        <f>'Oct-2023'!N39</f>
        <v>1063.2449999999999</v>
      </c>
      <c r="J39" s="15">
        <f t="shared" si="12"/>
        <v>3.5060000000000002</v>
      </c>
      <c r="K39" s="15">
        <f t="shared" si="12"/>
        <v>55.806000000000004</v>
      </c>
      <c r="L39" s="15">
        <f t="shared" si="12"/>
        <v>0</v>
      </c>
      <c r="M39" s="15">
        <f t="shared" si="12"/>
        <v>0.26</v>
      </c>
      <c r="N39" s="15">
        <f t="shared" si="12"/>
        <v>1066.751</v>
      </c>
      <c r="O39" s="41">
        <f>'Oct-2023'!T39</f>
        <v>2040.5459999999998</v>
      </c>
      <c r="P39" s="15">
        <f t="shared" si="12"/>
        <v>8.129999999999999</v>
      </c>
      <c r="Q39" s="15">
        <f t="shared" si="12"/>
        <v>378.63599999999991</v>
      </c>
      <c r="R39" s="15">
        <f t="shared" si="12"/>
        <v>0</v>
      </c>
      <c r="S39" s="15">
        <f t="shared" si="12"/>
        <v>17.010000000000002</v>
      </c>
      <c r="T39" s="15">
        <f t="shared" si="12"/>
        <v>2048.6759999999999</v>
      </c>
      <c r="U39" s="15">
        <f t="shared" si="12"/>
        <v>77737.598000000013</v>
      </c>
      <c r="V39" s="40"/>
      <c r="W39" s="40"/>
    </row>
    <row r="40" spans="1:23" ht="42.75" customHeight="1">
      <c r="A40" s="7">
        <v>25</v>
      </c>
      <c r="B40" s="8" t="s">
        <v>48</v>
      </c>
      <c r="C40" s="9">
        <f>'Oct-2023'!H40</f>
        <v>13979.268000000002</v>
      </c>
      <c r="D40" s="9">
        <v>5.56</v>
      </c>
      <c r="E40" s="9">
        <f>'Oct-2023'!E40+'Nov 2023'!D40</f>
        <v>75.58</v>
      </c>
      <c r="F40" s="9">
        <v>0</v>
      </c>
      <c r="G40" s="9">
        <f>'Oct-2023'!G40+'Nov 2023'!F40</f>
        <v>0</v>
      </c>
      <c r="H40" s="9">
        <f t="shared" si="0"/>
        <v>13984.828000000001</v>
      </c>
      <c r="I40" s="9">
        <f>'Oct-2023'!N40</f>
        <v>226.8</v>
      </c>
      <c r="J40" s="9">
        <v>0</v>
      </c>
      <c r="K40" s="9">
        <f>'Oct-2023'!K40+'Nov 2023'!J40</f>
        <v>0</v>
      </c>
      <c r="L40" s="9">
        <v>0</v>
      </c>
      <c r="M40" s="9">
        <f>'Oct-2023'!M40+'Nov 2023'!L40</f>
        <v>0</v>
      </c>
      <c r="N40" s="9">
        <f t="shared" si="1"/>
        <v>226.8</v>
      </c>
      <c r="O40" s="10">
        <f>'Oct-2023'!T40</f>
        <v>75.02000000000001</v>
      </c>
      <c r="P40" s="9">
        <v>0</v>
      </c>
      <c r="Q40" s="9">
        <f>'Oct-2023'!Q40+'Nov 2023'!P40</f>
        <v>0</v>
      </c>
      <c r="R40" s="9">
        <v>0</v>
      </c>
      <c r="S40" s="9">
        <f>'Oct-2023'!S40+'Nov 2023'!R40</f>
        <v>0</v>
      </c>
      <c r="T40" s="10">
        <f t="shared" si="2"/>
        <v>75.02000000000001</v>
      </c>
      <c r="U40" s="10">
        <f t="shared" si="3"/>
        <v>14286.648000000001</v>
      </c>
      <c r="V40" s="11"/>
      <c r="W40" s="11"/>
    </row>
    <row r="41" spans="1:23" ht="42.75" customHeight="1">
      <c r="A41" s="7">
        <v>26</v>
      </c>
      <c r="B41" s="8" t="s">
        <v>49</v>
      </c>
      <c r="C41" s="9">
        <f>'Oct-2023'!H41</f>
        <v>10710.445999999994</v>
      </c>
      <c r="D41" s="9">
        <v>2.2799999999999998</v>
      </c>
      <c r="E41" s="9">
        <f>'Oct-2023'!E41+'Nov 2023'!D41</f>
        <v>20.49</v>
      </c>
      <c r="F41" s="9">
        <v>0</v>
      </c>
      <c r="G41" s="9">
        <f>'Oct-2023'!G41+'Nov 2023'!F41</f>
        <v>0</v>
      </c>
      <c r="H41" s="9">
        <f t="shared" si="0"/>
        <v>10712.725999999995</v>
      </c>
      <c r="I41" s="9">
        <f>'Oct-2023'!N41</f>
        <v>0</v>
      </c>
      <c r="J41" s="9">
        <v>0</v>
      </c>
      <c r="K41" s="9">
        <f>'Oct-2023'!K41+'Nov 2023'!J41</f>
        <v>0</v>
      </c>
      <c r="L41" s="9">
        <v>0</v>
      </c>
      <c r="M41" s="9">
        <f>'Oct-2023'!M41+'Nov 2023'!L41</f>
        <v>0</v>
      </c>
      <c r="N41" s="9">
        <f t="shared" si="1"/>
        <v>0</v>
      </c>
      <c r="O41" s="10">
        <f>'Oct-2023'!T41</f>
        <v>89.580000000000013</v>
      </c>
      <c r="P41" s="9">
        <v>0</v>
      </c>
      <c r="Q41" s="9">
        <f>'Oct-2023'!Q41+'Nov 2023'!P41</f>
        <v>0</v>
      </c>
      <c r="R41" s="9">
        <v>0</v>
      </c>
      <c r="S41" s="9">
        <f>'Oct-2023'!S41+'Nov 2023'!R41</f>
        <v>0</v>
      </c>
      <c r="T41" s="10">
        <f t="shared" si="2"/>
        <v>89.580000000000013</v>
      </c>
      <c r="U41" s="10">
        <f t="shared" si="3"/>
        <v>10802.305999999995</v>
      </c>
      <c r="V41" s="11"/>
      <c r="W41" s="11"/>
    </row>
    <row r="42" spans="1:23" ht="42.75" customHeight="1">
      <c r="A42" s="7">
        <v>27</v>
      </c>
      <c r="B42" s="8" t="s">
        <v>50</v>
      </c>
      <c r="C42" s="9">
        <f>'Oct-2023'!H42</f>
        <v>24869.854000000003</v>
      </c>
      <c r="D42" s="9">
        <f>6.83+96.87</f>
        <v>103.7</v>
      </c>
      <c r="E42" s="9">
        <f>'Oct-2023'!E42+'Nov 2023'!D42</f>
        <v>893.32</v>
      </c>
      <c r="F42" s="9">
        <v>0</v>
      </c>
      <c r="G42" s="9">
        <f>'Oct-2023'!G42+'Nov 2023'!F42</f>
        <v>0</v>
      </c>
      <c r="H42" s="9">
        <f t="shared" si="0"/>
        <v>24973.554000000004</v>
      </c>
      <c r="I42" s="9">
        <f>'Oct-2023'!N42</f>
        <v>0</v>
      </c>
      <c r="J42" s="9">
        <v>0</v>
      </c>
      <c r="K42" s="9">
        <f>'Oct-2023'!K42+'Nov 2023'!J42</f>
        <v>0</v>
      </c>
      <c r="L42" s="9">
        <v>0</v>
      </c>
      <c r="M42" s="9">
        <f>'Oct-2023'!M42+'Nov 2023'!L42</f>
        <v>0</v>
      </c>
      <c r="N42" s="9">
        <f t="shared" si="1"/>
        <v>0</v>
      </c>
      <c r="O42" s="10">
        <f>'Oct-2023'!T42</f>
        <v>38.47</v>
      </c>
      <c r="P42" s="9">
        <v>0</v>
      </c>
      <c r="Q42" s="9">
        <f>'Oct-2023'!Q42+'Nov 2023'!P42</f>
        <v>0</v>
      </c>
      <c r="R42" s="9">
        <v>0</v>
      </c>
      <c r="S42" s="9">
        <f>'Oct-2023'!S42+'Nov 2023'!R42</f>
        <v>0</v>
      </c>
      <c r="T42" s="10">
        <f t="shared" si="2"/>
        <v>38.47</v>
      </c>
      <c r="U42" s="10">
        <f t="shared" si="3"/>
        <v>25012.024000000005</v>
      </c>
      <c r="V42" s="11"/>
      <c r="W42" s="11"/>
    </row>
    <row r="43" spans="1:23" ht="42.75" customHeight="1">
      <c r="A43" s="7">
        <v>28</v>
      </c>
      <c r="B43" s="8" t="s">
        <v>51</v>
      </c>
      <c r="C43" s="9">
        <f>'Oct-2023'!H43</f>
        <v>3002.4730000000004</v>
      </c>
      <c r="D43" s="9">
        <f>2.15+55.71</f>
        <v>57.86</v>
      </c>
      <c r="E43" s="9">
        <f>'Oct-2023'!E43+'Nov 2023'!D43</f>
        <v>580.33000000000004</v>
      </c>
      <c r="F43" s="9">
        <v>0</v>
      </c>
      <c r="G43" s="9">
        <f>'Oct-2023'!G43+'Nov 2023'!F43</f>
        <v>0</v>
      </c>
      <c r="H43" s="9">
        <f t="shared" si="0"/>
        <v>3060.3330000000005</v>
      </c>
      <c r="I43" s="9">
        <f>'Oct-2023'!N43</f>
        <v>0</v>
      </c>
      <c r="J43" s="9">
        <v>0</v>
      </c>
      <c r="K43" s="9">
        <f>'Oct-2023'!K43+'Nov 2023'!J43</f>
        <v>0</v>
      </c>
      <c r="L43" s="9">
        <v>0</v>
      </c>
      <c r="M43" s="9">
        <f>'Oct-2023'!M43+'Nov 2023'!L43</f>
        <v>0</v>
      </c>
      <c r="N43" s="9">
        <f t="shared" si="1"/>
        <v>0</v>
      </c>
      <c r="O43" s="10">
        <f>'Oct-2023'!T43</f>
        <v>146.49</v>
      </c>
      <c r="P43" s="9">
        <v>0</v>
      </c>
      <c r="Q43" s="9">
        <f>'Oct-2023'!Q43+'Nov 2023'!P43</f>
        <v>0</v>
      </c>
      <c r="R43" s="9">
        <v>0</v>
      </c>
      <c r="S43" s="9">
        <f>'Oct-2023'!S43+'Nov 2023'!R43</f>
        <v>0</v>
      </c>
      <c r="T43" s="10">
        <f t="shared" si="2"/>
        <v>146.49</v>
      </c>
      <c r="U43" s="10">
        <f t="shared" si="3"/>
        <v>3206.8230000000003</v>
      </c>
      <c r="V43" s="11"/>
      <c r="W43" s="11"/>
    </row>
    <row r="44" spans="1:23" s="16" customFormat="1" ht="42.75" customHeight="1">
      <c r="A44" s="13"/>
      <c r="B44" s="14" t="s">
        <v>52</v>
      </c>
      <c r="C44" s="15">
        <f>'Oct-2023'!H44</f>
        <v>52562.040999999997</v>
      </c>
      <c r="D44" s="15">
        <f t="shared" ref="D44:U44" si="13">SUM(D40:D43)</f>
        <v>169.4</v>
      </c>
      <c r="E44" s="15">
        <f t="shared" si="13"/>
        <v>1569.7200000000003</v>
      </c>
      <c r="F44" s="15">
        <f t="shared" si="13"/>
        <v>0</v>
      </c>
      <c r="G44" s="15">
        <f t="shared" si="13"/>
        <v>0</v>
      </c>
      <c r="H44" s="15">
        <f t="shared" si="13"/>
        <v>52731.440999999999</v>
      </c>
      <c r="I44" s="15">
        <f>'Oct-2023'!N44</f>
        <v>226.8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3"/>
        <v>226.8</v>
      </c>
      <c r="O44" s="41">
        <f>'Oct-2023'!T44</f>
        <v>349.56000000000006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3"/>
        <v>0</v>
      </c>
      <c r="T44" s="15">
        <f t="shared" si="13"/>
        <v>349.56000000000006</v>
      </c>
      <c r="U44" s="15">
        <f t="shared" si="13"/>
        <v>53307.801000000007</v>
      </c>
      <c r="V44" s="40"/>
      <c r="W44" s="40"/>
    </row>
    <row r="45" spans="1:23" ht="42.75" customHeight="1">
      <c r="A45" s="7">
        <v>29</v>
      </c>
      <c r="B45" s="8" t="s">
        <v>53</v>
      </c>
      <c r="C45" s="9">
        <f>'Oct-2023'!H45</f>
        <v>14162.385000000002</v>
      </c>
      <c r="D45" s="9">
        <v>4.8899999999999997</v>
      </c>
      <c r="E45" s="9">
        <f>'Oct-2023'!E45+'Nov 2023'!D45</f>
        <v>41.61</v>
      </c>
      <c r="F45" s="9">
        <v>0</v>
      </c>
      <c r="G45" s="9">
        <f>'Oct-2023'!G45+'Nov 2023'!F45</f>
        <v>0</v>
      </c>
      <c r="H45" s="9">
        <f t="shared" si="0"/>
        <v>14167.275000000001</v>
      </c>
      <c r="I45" s="9">
        <f>'Oct-2023'!N45</f>
        <v>8.15</v>
      </c>
      <c r="J45" s="9">
        <v>0.01</v>
      </c>
      <c r="K45" s="9">
        <f>'Oct-2023'!K45+'Nov 2023'!J45</f>
        <v>1.49</v>
      </c>
      <c r="L45" s="9">
        <v>0</v>
      </c>
      <c r="M45" s="9">
        <f>'Oct-2023'!M45+'Nov 2023'!L45</f>
        <v>0</v>
      </c>
      <c r="N45" s="9">
        <f t="shared" si="1"/>
        <v>8.16</v>
      </c>
      <c r="O45" s="10">
        <f>'Oct-2023'!T45</f>
        <v>105.87000000000002</v>
      </c>
      <c r="P45" s="9">
        <v>0</v>
      </c>
      <c r="Q45" s="9">
        <f>'Oct-2023'!Q45+'Nov 2023'!P45</f>
        <v>0</v>
      </c>
      <c r="R45" s="9">
        <v>0</v>
      </c>
      <c r="S45" s="9">
        <f>'Oct-2023'!S45+'Nov 2023'!R45</f>
        <v>0</v>
      </c>
      <c r="T45" s="10">
        <f t="shared" si="2"/>
        <v>105.87000000000002</v>
      </c>
      <c r="U45" s="10">
        <f t="shared" si="3"/>
        <v>14281.305000000002</v>
      </c>
      <c r="V45" s="75"/>
      <c r="W45" s="11"/>
    </row>
    <row r="46" spans="1:23" ht="42.75" customHeight="1">
      <c r="A46" s="7">
        <v>30</v>
      </c>
      <c r="B46" s="8" t="s">
        <v>54</v>
      </c>
      <c r="C46" s="9">
        <f>'Oct-2023'!H46</f>
        <v>7535.3049999999994</v>
      </c>
      <c r="D46" s="9">
        <v>12.2</v>
      </c>
      <c r="E46" s="9">
        <f>'Oct-2023'!E46+'Nov 2023'!D46</f>
        <v>134.44999999999999</v>
      </c>
      <c r="F46" s="9">
        <v>0</v>
      </c>
      <c r="G46" s="9">
        <f>'Oct-2023'!G46+'Nov 2023'!F46</f>
        <v>0</v>
      </c>
      <c r="H46" s="9">
        <f t="shared" si="0"/>
        <v>7547.5049999999992</v>
      </c>
      <c r="I46" s="9">
        <f>'Oct-2023'!N46</f>
        <v>0</v>
      </c>
      <c r="J46" s="9">
        <v>0</v>
      </c>
      <c r="K46" s="9">
        <f>'Oct-2023'!K46+'Nov 2023'!J46</f>
        <v>0</v>
      </c>
      <c r="L46" s="9">
        <v>0</v>
      </c>
      <c r="M46" s="9">
        <f>'Oct-2023'!M46+'Nov 2023'!L46</f>
        <v>0</v>
      </c>
      <c r="N46" s="9">
        <f t="shared" si="1"/>
        <v>0</v>
      </c>
      <c r="O46" s="10">
        <f>'Oct-2023'!T46</f>
        <v>7.5900000000000007</v>
      </c>
      <c r="P46" s="9">
        <v>0</v>
      </c>
      <c r="Q46" s="9">
        <f>'Oct-2023'!Q46+'Nov 2023'!P46</f>
        <v>0</v>
      </c>
      <c r="R46" s="9">
        <v>0</v>
      </c>
      <c r="S46" s="9">
        <f>'Oct-2023'!S46+'Nov 2023'!R46</f>
        <v>0</v>
      </c>
      <c r="T46" s="10">
        <f t="shared" si="2"/>
        <v>7.5900000000000007</v>
      </c>
      <c r="U46" s="10">
        <f t="shared" si="3"/>
        <v>7555.0949999999993</v>
      </c>
      <c r="V46" s="75"/>
      <c r="W46" s="11"/>
    </row>
    <row r="47" spans="1:23" ht="42.75" customHeight="1">
      <c r="A47" s="7">
        <v>31</v>
      </c>
      <c r="B47" s="8" t="s">
        <v>55</v>
      </c>
      <c r="C47" s="9">
        <f>'Oct-2023'!H47</f>
        <v>12307.320000000005</v>
      </c>
      <c r="D47" s="9">
        <v>1.62</v>
      </c>
      <c r="E47" s="9">
        <f>'Oct-2023'!E47+'Nov 2023'!D47</f>
        <v>4.9000000000000004</v>
      </c>
      <c r="F47" s="9">
        <v>0</v>
      </c>
      <c r="G47" s="9">
        <f>'Oct-2023'!G47+'Nov 2023'!F47</f>
        <v>0</v>
      </c>
      <c r="H47" s="9">
        <f t="shared" si="0"/>
        <v>12308.940000000006</v>
      </c>
      <c r="I47" s="9">
        <f>'Oct-2023'!N47</f>
        <v>1.2999999999999998</v>
      </c>
      <c r="J47" s="9">
        <v>0</v>
      </c>
      <c r="K47" s="9">
        <f>'Oct-2023'!K47+'Nov 2023'!J47</f>
        <v>0</v>
      </c>
      <c r="L47" s="9">
        <v>0</v>
      </c>
      <c r="M47" s="9">
        <f>'Oct-2023'!M47+'Nov 2023'!L47</f>
        <v>0</v>
      </c>
      <c r="N47" s="9">
        <f t="shared" si="1"/>
        <v>1.2999999999999998</v>
      </c>
      <c r="O47" s="10">
        <f>'Oct-2023'!T47</f>
        <v>86.18</v>
      </c>
      <c r="P47" s="9">
        <v>0</v>
      </c>
      <c r="Q47" s="9">
        <f>'Oct-2023'!Q47+'Nov 2023'!P47</f>
        <v>0</v>
      </c>
      <c r="R47" s="9">
        <v>0</v>
      </c>
      <c r="S47" s="9">
        <f>'Oct-2023'!S47+'Nov 2023'!R47</f>
        <v>0</v>
      </c>
      <c r="T47" s="10">
        <f t="shared" si="2"/>
        <v>86.18</v>
      </c>
      <c r="U47" s="10">
        <f t="shared" si="3"/>
        <v>12396.420000000006</v>
      </c>
      <c r="V47" s="75"/>
      <c r="W47" s="11"/>
    </row>
    <row r="48" spans="1:23" ht="42.75" customHeight="1">
      <c r="A48" s="7">
        <v>32</v>
      </c>
      <c r="B48" s="8" t="s">
        <v>56</v>
      </c>
      <c r="C48" s="9">
        <f>'Oct-2023'!H48</f>
        <v>11113.782000000007</v>
      </c>
      <c r="D48" s="9">
        <v>0.95</v>
      </c>
      <c r="E48" s="9">
        <f>'Oct-2023'!E48+'Nov 2023'!D48</f>
        <v>7.5200000000000005</v>
      </c>
      <c r="F48" s="9">
        <v>0</v>
      </c>
      <c r="G48" s="9">
        <f>'Oct-2023'!G48+'Nov 2023'!F48</f>
        <v>0</v>
      </c>
      <c r="H48" s="9">
        <f t="shared" si="0"/>
        <v>11114.732000000007</v>
      </c>
      <c r="I48" s="9">
        <f>'Oct-2023'!N48</f>
        <v>0</v>
      </c>
      <c r="J48" s="9">
        <v>0</v>
      </c>
      <c r="K48" s="9">
        <f>'Oct-2023'!K48+'Nov 2023'!J48</f>
        <v>0</v>
      </c>
      <c r="L48" s="9">
        <v>0</v>
      </c>
      <c r="M48" s="9">
        <f>'Oct-2023'!M48+'Nov 2023'!L48</f>
        <v>0</v>
      </c>
      <c r="N48" s="9">
        <f t="shared" si="1"/>
        <v>0</v>
      </c>
      <c r="O48" s="10">
        <f>'Oct-2023'!T48</f>
        <v>30.53</v>
      </c>
      <c r="P48" s="9">
        <v>0</v>
      </c>
      <c r="Q48" s="9">
        <f>'Oct-2023'!Q48+'Nov 2023'!P48</f>
        <v>0</v>
      </c>
      <c r="R48" s="9">
        <v>0</v>
      </c>
      <c r="S48" s="9">
        <f>'Oct-2023'!S48+'Nov 2023'!R48</f>
        <v>0</v>
      </c>
      <c r="T48" s="10">
        <f t="shared" si="2"/>
        <v>30.53</v>
      </c>
      <c r="U48" s="10">
        <f t="shared" si="3"/>
        <v>11145.262000000008</v>
      </c>
      <c r="V48" s="75"/>
      <c r="W48" s="11"/>
    </row>
    <row r="49" spans="1:23" s="16" customFormat="1" ht="57.75" customHeight="1">
      <c r="A49" s="13"/>
      <c r="B49" s="14" t="s">
        <v>57</v>
      </c>
      <c r="C49" s="15">
        <f>'Oct-2023'!H49</f>
        <v>45118.792000000016</v>
      </c>
      <c r="D49" s="15">
        <f t="shared" ref="D49:U49" si="14">SUM(D45:D48)</f>
        <v>19.66</v>
      </c>
      <c r="E49" s="15">
        <f t="shared" si="14"/>
        <v>188.48000000000002</v>
      </c>
      <c r="F49" s="15">
        <f t="shared" si="14"/>
        <v>0</v>
      </c>
      <c r="G49" s="15">
        <f t="shared" si="14"/>
        <v>0</v>
      </c>
      <c r="H49" s="15">
        <f t="shared" si="14"/>
        <v>45138.452000000005</v>
      </c>
      <c r="I49" s="15">
        <f>'Oct-2023'!N49</f>
        <v>9.4499999999999993</v>
      </c>
      <c r="J49" s="15">
        <f t="shared" si="14"/>
        <v>0.01</v>
      </c>
      <c r="K49" s="15">
        <f t="shared" si="14"/>
        <v>1.49</v>
      </c>
      <c r="L49" s="15">
        <f t="shared" si="14"/>
        <v>0</v>
      </c>
      <c r="M49" s="15">
        <f t="shared" si="14"/>
        <v>0</v>
      </c>
      <c r="N49" s="15">
        <f t="shared" si="14"/>
        <v>9.4600000000000009</v>
      </c>
      <c r="O49" s="41">
        <f>'Oct-2023'!T49</f>
        <v>230.17000000000004</v>
      </c>
      <c r="P49" s="15">
        <f t="shared" si="14"/>
        <v>0</v>
      </c>
      <c r="Q49" s="15">
        <f t="shared" si="14"/>
        <v>0</v>
      </c>
      <c r="R49" s="15">
        <f t="shared" si="14"/>
        <v>0</v>
      </c>
      <c r="S49" s="15">
        <f t="shared" si="14"/>
        <v>0</v>
      </c>
      <c r="T49" s="15">
        <f t="shared" si="14"/>
        <v>230.17000000000004</v>
      </c>
      <c r="U49" s="15">
        <f t="shared" si="14"/>
        <v>45378.082000000017</v>
      </c>
      <c r="V49" s="40"/>
      <c r="W49" s="40"/>
    </row>
    <row r="50" spans="1:23" s="16" customFormat="1" ht="42.75" customHeight="1">
      <c r="A50" s="13"/>
      <c r="B50" s="14" t="s">
        <v>58</v>
      </c>
      <c r="C50" s="15">
        <f>'Oct-2023'!H50</f>
        <v>97680.833000000013</v>
      </c>
      <c r="D50" s="15">
        <f t="shared" ref="D50:U50" si="15">D49+D44</f>
        <v>189.06</v>
      </c>
      <c r="E50" s="15">
        <f t="shared" si="15"/>
        <v>1758.2000000000003</v>
      </c>
      <c r="F50" s="15">
        <f t="shared" si="15"/>
        <v>0</v>
      </c>
      <c r="G50" s="15">
        <f t="shared" si="15"/>
        <v>0</v>
      </c>
      <c r="H50" s="15">
        <f t="shared" si="15"/>
        <v>97869.893000000011</v>
      </c>
      <c r="I50" s="15">
        <f>'Oct-2023'!N50</f>
        <v>236.25</v>
      </c>
      <c r="J50" s="15">
        <f t="shared" si="15"/>
        <v>0.01</v>
      </c>
      <c r="K50" s="15">
        <f t="shared" si="15"/>
        <v>1.49</v>
      </c>
      <c r="L50" s="15">
        <f t="shared" si="15"/>
        <v>0</v>
      </c>
      <c r="M50" s="15">
        <f t="shared" si="15"/>
        <v>0</v>
      </c>
      <c r="N50" s="15">
        <f t="shared" si="15"/>
        <v>236.26000000000002</v>
      </c>
      <c r="O50" s="41">
        <f>'Oct-2023'!T50</f>
        <v>579.73000000000013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579.73000000000013</v>
      </c>
      <c r="U50" s="15">
        <f t="shared" si="15"/>
        <v>98685.883000000031</v>
      </c>
      <c r="V50" s="40"/>
      <c r="W50" s="40"/>
    </row>
    <row r="51" spans="1:23" s="16" customFormat="1" ht="42.75" customHeight="1">
      <c r="A51" s="13"/>
      <c r="B51" s="14" t="s">
        <v>59</v>
      </c>
      <c r="C51" s="15">
        <f>'Oct-2023'!H51</f>
        <v>180310.32900000003</v>
      </c>
      <c r="D51" s="15">
        <f t="shared" ref="D51:U51" si="16">D50+D39+D25</f>
        <v>1034.1379999999999</v>
      </c>
      <c r="E51" s="15">
        <f t="shared" si="16"/>
        <v>8722.7309999999998</v>
      </c>
      <c r="F51" s="15">
        <f t="shared" si="16"/>
        <v>15.48</v>
      </c>
      <c r="G51" s="15">
        <f t="shared" si="16"/>
        <v>136.03</v>
      </c>
      <c r="H51" s="37">
        <f t="shared" si="16"/>
        <v>181328.98700000002</v>
      </c>
      <c r="I51" s="15">
        <f>'Oct-2023'!N51</f>
        <v>2965.5160000000001</v>
      </c>
      <c r="J51" s="15">
        <f t="shared" si="16"/>
        <v>10.056000000000001</v>
      </c>
      <c r="K51" s="15">
        <f t="shared" si="16"/>
        <v>170.15300000000002</v>
      </c>
      <c r="L51" s="15">
        <f t="shared" si="16"/>
        <v>0</v>
      </c>
      <c r="M51" s="15">
        <f t="shared" si="16"/>
        <v>10.72</v>
      </c>
      <c r="N51" s="37">
        <f t="shared" si="16"/>
        <v>2975.5720000000001</v>
      </c>
      <c r="O51" s="41">
        <f>'Oct-2023'!T51</f>
        <v>10294.289999999999</v>
      </c>
      <c r="P51" s="15">
        <f t="shared" si="16"/>
        <v>69.38</v>
      </c>
      <c r="Q51" s="15">
        <f t="shared" si="16"/>
        <v>1085.126</v>
      </c>
      <c r="R51" s="15">
        <f t="shared" si="16"/>
        <v>0</v>
      </c>
      <c r="S51" s="15">
        <f t="shared" si="16"/>
        <v>39.43</v>
      </c>
      <c r="T51" s="37">
        <f t="shared" si="16"/>
        <v>10363.67</v>
      </c>
      <c r="U51" s="15">
        <f t="shared" si="16"/>
        <v>194668.22900000002</v>
      </c>
      <c r="V51" s="40"/>
      <c r="W51" s="40"/>
    </row>
    <row r="52" spans="1:23" s="21" customFormat="1" ht="42.75" hidden="1" customHeight="1">
      <c r="A52" s="18"/>
      <c r="B52" s="19"/>
      <c r="C52" s="9">
        <f>'Sept 2023'!H52</f>
        <v>0</v>
      </c>
      <c r="D52" s="20"/>
      <c r="E52" s="9">
        <f>'Sept 2023'!E52+'Nov 2023'!D52</f>
        <v>0</v>
      </c>
      <c r="F52" s="20"/>
      <c r="G52" s="9">
        <f>'Sept 2023'!G52+'Nov 2023'!F52</f>
        <v>0</v>
      </c>
      <c r="H52" s="9">
        <f t="shared" si="0"/>
        <v>0</v>
      </c>
      <c r="I52" s="9">
        <f>'Sept 2023'!N52</f>
        <v>0</v>
      </c>
      <c r="J52" s="20"/>
      <c r="K52" s="9">
        <f>'Sept 2023'!K52+'Nov 2023'!J52</f>
        <v>0</v>
      </c>
      <c r="L52" s="20"/>
      <c r="M52" s="9"/>
      <c r="N52" s="20"/>
      <c r="O52" s="20"/>
      <c r="P52" s="20"/>
      <c r="Q52" s="9">
        <f>'Sept 2023'!Q52+'Nov 2023'!P52</f>
        <v>0</v>
      </c>
      <c r="R52" s="20"/>
      <c r="S52" s="9">
        <f>'Sept 2023'!S52+'Nov 2023'!R52</f>
        <v>0</v>
      </c>
      <c r="T52" s="20"/>
      <c r="U52" s="20"/>
      <c r="V52" s="20"/>
      <c r="W52" s="20"/>
    </row>
    <row r="53" spans="1:23" s="21" customFormat="1" hidden="1">
      <c r="A53" s="18"/>
      <c r="B53" s="19"/>
      <c r="C53" s="9">
        <f>'Sept 2023'!H53</f>
        <v>0</v>
      </c>
      <c r="D53" s="20"/>
      <c r="E53" s="9">
        <f>'Sept 2023'!E53+'Nov 2023'!D53</f>
        <v>0</v>
      </c>
      <c r="F53" s="20"/>
      <c r="G53" s="9">
        <f>'Sept 2023'!G53+'Nov 2023'!F53</f>
        <v>0</v>
      </c>
      <c r="H53" s="9">
        <f t="shared" si="0"/>
        <v>0</v>
      </c>
      <c r="I53" s="9">
        <f>'Sept 2023'!N53</f>
        <v>0</v>
      </c>
      <c r="J53" s="20"/>
      <c r="K53" s="9">
        <f>'Sept 2023'!K53+'Nov 2023'!J53</f>
        <v>0</v>
      </c>
      <c r="L53" s="20"/>
      <c r="M53" s="9"/>
      <c r="N53" s="20"/>
      <c r="O53" s="20"/>
      <c r="P53" s="22"/>
      <c r="Q53" s="9">
        <f>'Sept 2023'!Q53+'Nov 2023'!P53</f>
        <v>0</v>
      </c>
      <c r="R53" s="20"/>
      <c r="S53" s="9">
        <f>'Sept 2023'!S53+'Nov 2023'!R53</f>
        <v>0</v>
      </c>
      <c r="T53" s="23"/>
      <c r="U53" s="20"/>
      <c r="V53" s="20"/>
      <c r="W53" s="20"/>
    </row>
    <row r="54" spans="1:23" s="21" customFormat="1">
      <c r="A54" s="18"/>
      <c r="B54" s="19"/>
      <c r="C54" s="20"/>
      <c r="D54" s="20"/>
      <c r="E54" s="24"/>
      <c r="F54" s="20"/>
      <c r="G54" s="20"/>
      <c r="H54" s="20"/>
      <c r="I54" s="22"/>
      <c r="J54" s="20"/>
      <c r="K54" s="9"/>
      <c r="L54" s="20"/>
      <c r="M54" s="22"/>
      <c r="N54" s="20"/>
      <c r="O54" s="20"/>
      <c r="P54" s="22"/>
      <c r="Q54" s="24"/>
      <c r="R54" s="20"/>
      <c r="S54" s="22"/>
      <c r="T54" s="23"/>
      <c r="U54" s="20"/>
      <c r="V54" s="20"/>
      <c r="W54" s="20"/>
    </row>
    <row r="55" spans="1:23" s="43" customFormat="1" ht="30">
      <c r="A55" s="76" t="s">
        <v>75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3" s="16" customFormat="1" ht="57" customHeight="1">
      <c r="A56" s="25"/>
      <c r="B56" s="26"/>
      <c r="C56" s="27"/>
      <c r="D56" s="74" t="s">
        <v>60</v>
      </c>
      <c r="E56" s="74"/>
      <c r="F56" s="74"/>
      <c r="G56" s="74"/>
      <c r="H56" s="40">
        <f>D51+J51+P51-F51-L51-R51</f>
        <v>1098.0940000000001</v>
      </c>
      <c r="I56" s="40"/>
      <c r="J56" s="40"/>
      <c r="K56" s="40"/>
      <c r="L56" s="40"/>
      <c r="M56" s="40"/>
      <c r="N56" s="40"/>
      <c r="O56" s="28"/>
      <c r="P56" s="40"/>
      <c r="Q56" s="40"/>
      <c r="R56" s="40"/>
      <c r="S56" s="40"/>
      <c r="T56" s="40"/>
      <c r="U56" s="39"/>
      <c r="V56" s="39"/>
      <c r="W56" s="39"/>
    </row>
    <row r="57" spans="1:23" s="16" customFormat="1" ht="66" customHeight="1">
      <c r="A57" s="25"/>
      <c r="B57" s="26"/>
      <c r="C57" s="40"/>
      <c r="D57" s="74" t="s">
        <v>61</v>
      </c>
      <c r="E57" s="74"/>
      <c r="F57" s="74"/>
      <c r="G57" s="74"/>
      <c r="H57" s="40">
        <f>E51+K51+Q51-G51-M51-S51</f>
        <v>9791.83</v>
      </c>
      <c r="I57" s="40"/>
      <c r="J57" s="40"/>
      <c r="K57" s="40"/>
      <c r="L57" s="40"/>
      <c r="M57" s="40"/>
      <c r="N57" s="40"/>
      <c r="O57" s="28"/>
      <c r="P57" s="40"/>
      <c r="Q57" s="40"/>
      <c r="R57" s="40"/>
      <c r="S57" s="40"/>
      <c r="T57" s="40"/>
      <c r="U57" s="39"/>
      <c r="V57" s="39"/>
      <c r="W57" s="39"/>
    </row>
    <row r="58" spans="1:23" ht="54" customHeight="1">
      <c r="C58" s="27"/>
      <c r="D58" s="74" t="s">
        <v>62</v>
      </c>
      <c r="E58" s="74"/>
      <c r="F58" s="74"/>
      <c r="G58" s="74"/>
      <c r="H58" s="40">
        <f>H51+N51+T51</f>
        <v>194668.22900000002</v>
      </c>
      <c r="I58" s="30"/>
      <c r="J58" s="30"/>
      <c r="K58" s="30"/>
      <c r="L58" s="31"/>
      <c r="M58" s="31"/>
      <c r="N58" s="32" t="e">
        <f>#REF!+'Nov 2023'!H56</f>
        <v>#REF!</v>
      </c>
      <c r="O58" s="11"/>
      <c r="P58" s="30"/>
      <c r="Q58" s="30"/>
      <c r="T58" s="33"/>
      <c r="U58" s="11"/>
      <c r="V58" s="11"/>
      <c r="W58" s="11"/>
    </row>
    <row r="59" spans="1:23" ht="42.75" customHeight="1">
      <c r="C59" s="39"/>
      <c r="D59" s="39"/>
      <c r="E59" s="34"/>
      <c r="H59" s="30"/>
      <c r="J59" s="35" t="e">
        <f>#REF!+'Nov 2023'!H56</f>
        <v>#REF!</v>
      </c>
      <c r="K59" s="30"/>
      <c r="L59" s="35" t="e">
        <f>#REF!+'Nov 2023'!H56</f>
        <v>#REF!</v>
      </c>
      <c r="M59" s="30"/>
      <c r="O59" s="11"/>
    </row>
    <row r="60" spans="1:23">
      <c r="B60" s="2"/>
      <c r="G60" s="36"/>
      <c r="O60" s="2"/>
      <c r="U60" s="2"/>
      <c r="V60" s="2"/>
      <c r="W60" s="2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D56:G56"/>
    <mergeCell ref="D57:G57"/>
    <mergeCell ref="D58:G58"/>
    <mergeCell ref="P5:Q5"/>
    <mergeCell ref="R5:S5"/>
    <mergeCell ref="A55:K5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march 2023</vt:lpstr>
      <vt:lpstr>April 2023</vt:lpstr>
      <vt:lpstr>May 2023</vt:lpstr>
      <vt:lpstr>June 2023</vt:lpstr>
      <vt:lpstr>JULY 2023</vt:lpstr>
      <vt:lpstr>August 2023</vt:lpstr>
      <vt:lpstr>Sept 2023</vt:lpstr>
      <vt:lpstr>Oct-2023</vt:lpstr>
      <vt:lpstr>Nov 2023</vt:lpstr>
      <vt:lpstr>dec 2023</vt:lpstr>
      <vt:lpstr>Jan 2024</vt:lpstr>
      <vt:lpstr>Feb 2024</vt:lpstr>
      <vt:lpstr>March 2024</vt:lpstr>
      <vt:lpstr>'April 2023'!Print_Area</vt:lpstr>
      <vt:lpstr>'August 2023'!Print_Area</vt:lpstr>
      <vt:lpstr>'dec 2023'!Print_Area</vt:lpstr>
      <vt:lpstr>'Feb 2024'!Print_Area</vt:lpstr>
      <vt:lpstr>'Jan 2024'!Print_Area</vt:lpstr>
      <vt:lpstr>'JULY 2023'!Print_Area</vt:lpstr>
      <vt:lpstr>'June 2023'!Print_Area</vt:lpstr>
      <vt:lpstr>'march 2023'!Print_Area</vt:lpstr>
      <vt:lpstr>'March 2024'!Print_Area</vt:lpstr>
      <vt:lpstr>'May 2023'!Print_Area</vt:lpstr>
      <vt:lpstr>'Nov 2023'!Print_Area</vt:lpstr>
      <vt:lpstr>'Oct-2023'!Print_Area</vt:lpstr>
      <vt:lpstr>'Sept 2023'!Print_Area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2024-04-22T06:05:49Z</dcterms:modified>
</cp:coreProperties>
</file>