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firstSheet="27" activeTab="34"/>
  </bookViews>
  <sheets>
    <sheet name="march 2020" sheetId="40" state="hidden" r:id="rId1"/>
    <sheet name="Sheet1" sheetId="43" state="hidden" r:id="rId2"/>
    <sheet name="March-2021" sheetId="54" r:id="rId3"/>
    <sheet name="April-2021" sheetId="55" r:id="rId4"/>
    <sheet name="May-2021" sheetId="56" r:id="rId5"/>
    <sheet name="June-2021" sheetId="57" r:id="rId6"/>
    <sheet name="july-2021" sheetId="58" r:id="rId7"/>
    <sheet name="aug-2021" sheetId="59" r:id="rId8"/>
    <sheet name="Sep-2021" sheetId="60" r:id="rId9"/>
    <sheet name="Oct-2021" sheetId="61" r:id="rId10"/>
    <sheet name="Nov-2021" sheetId="62" r:id="rId11"/>
    <sheet name="dec-2021" sheetId="63" r:id="rId12"/>
    <sheet name="braz" sheetId="23" state="hidden" r:id="rId13"/>
    <sheet name="brc" sheetId="24" state="hidden" r:id="rId14"/>
    <sheet name="kolar" sheetId="25" state="hidden" r:id="rId15"/>
    <sheet name="ramanagr" sheetId="26" state="hidden" r:id="rId16"/>
    <sheet name="CIRCLE" sheetId="18" state="hidden" r:id="rId17"/>
    <sheet name="DIFF" sheetId="19" state="hidden" r:id="rId18"/>
    <sheet name="ht" sheetId="14" state="hidden" r:id="rId19"/>
    <sheet name="Jan-2022" sheetId="64" r:id="rId20"/>
    <sheet name="Feb-2022" sheetId="65" r:id="rId21"/>
    <sheet name="March-2022 " sheetId="66" r:id="rId22"/>
    <sheet name="April-2022 " sheetId="68" r:id="rId23"/>
    <sheet name="May-2022" sheetId="69" r:id="rId24"/>
    <sheet name="June-2022" sheetId="70" r:id="rId25"/>
    <sheet name="July-2022 " sheetId="71" r:id="rId26"/>
    <sheet name="August-2022 " sheetId="73" r:id="rId27"/>
    <sheet name="Sep-2022" sheetId="75" r:id="rId28"/>
    <sheet name="Oct-2022" sheetId="76" r:id="rId29"/>
    <sheet name="Nov-2022 " sheetId="80" r:id="rId30"/>
    <sheet name="DEC-2022 " sheetId="81" r:id="rId31"/>
    <sheet name="Jan-23" sheetId="82" r:id="rId32"/>
    <sheet name="Feb-23" sheetId="84" r:id="rId33"/>
    <sheet name="Feb-23 (2)" sheetId="85" r:id="rId34"/>
    <sheet name="Mar-23" sheetId="86" r:id="rId35"/>
    <sheet name="HT LINES" sheetId="87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Print_Area" localSheetId="3">'April-2021'!$A$1:$U$62</definedName>
    <definedName name="_xlnm.Print_Area" localSheetId="7">'aug-2021'!$A$1:$U$62</definedName>
    <definedName name="_xlnm.Print_Area" localSheetId="12">braz!$A$1:$U$20</definedName>
    <definedName name="_xlnm.Print_Area" localSheetId="13">brc!$A$1:$U$9</definedName>
    <definedName name="_xlnm.Print_Area" localSheetId="16">CIRCLE!$A$1:$V$64</definedName>
    <definedName name="_xlnm.Print_Area" localSheetId="11">'dec-2021'!$A$1:$U$62</definedName>
    <definedName name="_xlnm.Print_Area" localSheetId="32">'Feb-23'!$A$1:$U$63</definedName>
    <definedName name="_xlnm.Print_Area" localSheetId="33">'Feb-23 (2)'!$A$1:$U$63</definedName>
    <definedName name="_xlnm.Print_Area" localSheetId="6">'july-2021'!$A$1:$U$62</definedName>
    <definedName name="_xlnm.Print_Area" localSheetId="5">'June-2021'!$A$1:$U$62</definedName>
    <definedName name="_xlnm.Print_Area" localSheetId="14">kolar!$A$1:$U$11</definedName>
    <definedName name="_xlnm.Print_Area" localSheetId="34">'Mar-23'!$A$1:$U$63</definedName>
    <definedName name="_xlnm.Print_Area" localSheetId="0">'march 2020'!$A$1:$U$56</definedName>
    <definedName name="_xlnm.Print_Area" localSheetId="2">'March-2021'!$A$1:$U$62</definedName>
    <definedName name="_xlnm.Print_Area" localSheetId="4">'May-2021'!$A$1:$U$62</definedName>
    <definedName name="_xlnm.Print_Area" localSheetId="10">'Nov-2021'!$A$1:$U$62</definedName>
    <definedName name="_xlnm.Print_Area" localSheetId="9">'Oct-2021'!$A$1:$U$62</definedName>
    <definedName name="_xlnm.Print_Area" localSheetId="15">ramanagr!$A$1:$U$11</definedName>
    <definedName name="_xlnm.Print_Area" localSheetId="8">'Sep-2021'!$A$1:$U$62</definedName>
  </definedNames>
  <calcPr calcId="144525"/>
</workbook>
</file>

<file path=xl/calcChain.xml><?xml version="1.0" encoding="utf-8"?>
<calcChain xmlns="http://schemas.openxmlformats.org/spreadsheetml/2006/main">
  <c r="R49" i="86" l="1"/>
  <c r="P49" i="86"/>
  <c r="L49" i="86"/>
  <c r="J49" i="86"/>
  <c r="F49" i="86"/>
  <c r="D49" i="86"/>
  <c r="S48" i="86"/>
  <c r="Q48" i="86"/>
  <c r="O48" i="86"/>
  <c r="T48" i="86" s="1"/>
  <c r="M48" i="86"/>
  <c r="K48" i="86"/>
  <c r="I48" i="86"/>
  <c r="N48" i="86" s="1"/>
  <c r="G48" i="86"/>
  <c r="E48" i="86"/>
  <c r="C48" i="86"/>
  <c r="H48" i="86" s="1"/>
  <c r="S47" i="86"/>
  <c r="Q47" i="86"/>
  <c r="O47" i="86"/>
  <c r="T47" i="86" s="1"/>
  <c r="M47" i="86"/>
  <c r="K47" i="86"/>
  <c r="I47" i="86"/>
  <c r="N47" i="86" s="1"/>
  <c r="G47" i="86"/>
  <c r="E47" i="86"/>
  <c r="C47" i="86"/>
  <c r="H47" i="86" s="1"/>
  <c r="S46" i="86"/>
  <c r="Q46" i="86"/>
  <c r="O46" i="86"/>
  <c r="T46" i="86" s="1"/>
  <c r="M46" i="86"/>
  <c r="K46" i="86"/>
  <c r="I46" i="86"/>
  <c r="N46" i="86" s="1"/>
  <c r="G46" i="86"/>
  <c r="E46" i="86"/>
  <c r="C46" i="86"/>
  <c r="H46" i="86" s="1"/>
  <c r="S45" i="86"/>
  <c r="S49" i="86" s="1"/>
  <c r="Q45" i="86"/>
  <c r="Q49" i="86" s="1"/>
  <c r="O45" i="86"/>
  <c r="O49" i="86" s="1"/>
  <c r="M45" i="86"/>
  <c r="M49" i="86" s="1"/>
  <c r="K45" i="86"/>
  <c r="K49" i="86" s="1"/>
  <c r="I45" i="86"/>
  <c r="N45" i="86" s="1"/>
  <c r="G45" i="86"/>
  <c r="G49" i="86" s="1"/>
  <c r="E45" i="86"/>
  <c r="E49" i="86" s="1"/>
  <c r="C45" i="86"/>
  <c r="C49" i="86" s="1"/>
  <c r="R44" i="86"/>
  <c r="P44" i="86"/>
  <c r="P50" i="86" s="1"/>
  <c r="L44" i="86"/>
  <c r="L50" i="86" s="1"/>
  <c r="J44" i="86"/>
  <c r="F44" i="86"/>
  <c r="S43" i="86"/>
  <c r="Q43" i="86"/>
  <c r="O43" i="86"/>
  <c r="T43" i="86" s="1"/>
  <c r="M43" i="86"/>
  <c r="K43" i="86"/>
  <c r="I43" i="86"/>
  <c r="N43" i="86" s="1"/>
  <c r="G43" i="86"/>
  <c r="E43" i="86"/>
  <c r="D43" i="86"/>
  <c r="C43" i="86"/>
  <c r="H43" i="86" s="1"/>
  <c r="S42" i="86"/>
  <c r="Q42" i="86"/>
  <c r="O42" i="86"/>
  <c r="T42" i="86" s="1"/>
  <c r="M42" i="86"/>
  <c r="K42" i="86"/>
  <c r="I42" i="86"/>
  <c r="N42" i="86" s="1"/>
  <c r="G42" i="86"/>
  <c r="E42" i="86"/>
  <c r="C42" i="86"/>
  <c r="H42" i="86" s="1"/>
  <c r="U42" i="86" s="1"/>
  <c r="S41" i="86"/>
  <c r="Q41" i="86"/>
  <c r="O41" i="86"/>
  <c r="T41" i="86" s="1"/>
  <c r="M41" i="86"/>
  <c r="K41" i="86"/>
  <c r="I41" i="86"/>
  <c r="N41" i="86" s="1"/>
  <c r="G41" i="86"/>
  <c r="E41" i="86"/>
  <c r="D41" i="86"/>
  <c r="D44" i="86" s="1"/>
  <c r="D50" i="86" s="1"/>
  <c r="C41" i="86"/>
  <c r="S40" i="86"/>
  <c r="S44" i="86" s="1"/>
  <c r="Q40" i="86"/>
  <c r="Q44" i="86" s="1"/>
  <c r="O40" i="86"/>
  <c r="O44" i="86" s="1"/>
  <c r="T44" i="86" s="1"/>
  <c r="M40" i="86"/>
  <c r="M44" i="86" s="1"/>
  <c r="K40" i="86"/>
  <c r="K44" i="86" s="1"/>
  <c r="I40" i="86"/>
  <c r="I44" i="86" s="1"/>
  <c r="N44" i="86" s="1"/>
  <c r="G40" i="86"/>
  <c r="G44" i="86" s="1"/>
  <c r="E40" i="86"/>
  <c r="E44" i="86" s="1"/>
  <c r="C40" i="86"/>
  <c r="C44" i="86" s="1"/>
  <c r="H44" i="86" s="1"/>
  <c r="U44" i="86" s="1"/>
  <c r="R38" i="86"/>
  <c r="P38" i="86"/>
  <c r="L38" i="86"/>
  <c r="J38" i="86"/>
  <c r="F38" i="86"/>
  <c r="S37" i="86"/>
  <c r="Q37" i="86"/>
  <c r="O37" i="86"/>
  <c r="T37" i="86" s="1"/>
  <c r="M37" i="86"/>
  <c r="K37" i="86"/>
  <c r="I37" i="86"/>
  <c r="N37" i="86" s="1"/>
  <c r="G37" i="86"/>
  <c r="E37" i="86"/>
  <c r="D37" i="86"/>
  <c r="C37" i="86"/>
  <c r="S36" i="86"/>
  <c r="Q36" i="86"/>
  <c r="O36" i="86"/>
  <c r="T36" i="86" s="1"/>
  <c r="M36" i="86"/>
  <c r="K36" i="86"/>
  <c r="I36" i="86"/>
  <c r="N36" i="86" s="1"/>
  <c r="G36" i="86"/>
  <c r="E36" i="86"/>
  <c r="C36" i="86"/>
  <c r="H36" i="86" s="1"/>
  <c r="U36" i="86" s="1"/>
  <c r="S35" i="86"/>
  <c r="Q35" i="86"/>
  <c r="O35" i="86"/>
  <c r="T35" i="86" s="1"/>
  <c r="M35" i="86"/>
  <c r="K35" i="86"/>
  <c r="I35" i="86"/>
  <c r="N35" i="86" s="1"/>
  <c r="G35" i="86"/>
  <c r="E35" i="86"/>
  <c r="D35" i="86"/>
  <c r="D38" i="86" s="1"/>
  <c r="C35" i="86"/>
  <c r="H35" i="86" s="1"/>
  <c r="S34" i="86"/>
  <c r="S38" i="86" s="1"/>
  <c r="Q34" i="86"/>
  <c r="Q38" i="86" s="1"/>
  <c r="O34" i="86"/>
  <c r="O38" i="86" s="1"/>
  <c r="M34" i="86"/>
  <c r="M38" i="86" s="1"/>
  <c r="K34" i="86"/>
  <c r="K38" i="86" s="1"/>
  <c r="I34" i="86"/>
  <c r="I38" i="86" s="1"/>
  <c r="G34" i="86"/>
  <c r="G38" i="86" s="1"/>
  <c r="E34" i="86"/>
  <c r="E38" i="86" s="1"/>
  <c r="C34" i="86"/>
  <c r="C38" i="86" s="1"/>
  <c r="R33" i="86"/>
  <c r="P33" i="86"/>
  <c r="L33" i="86"/>
  <c r="J33" i="86"/>
  <c r="F33" i="86"/>
  <c r="D33" i="86"/>
  <c r="T32" i="86"/>
  <c r="S32" i="86"/>
  <c r="Q32" i="86"/>
  <c r="O32" i="86"/>
  <c r="N32" i="86"/>
  <c r="M32" i="86"/>
  <c r="K32" i="86"/>
  <c r="I32" i="86"/>
  <c r="H32" i="86"/>
  <c r="U32" i="86" s="1"/>
  <c r="G32" i="86"/>
  <c r="E32" i="86"/>
  <c r="C32" i="86"/>
  <c r="S31" i="86"/>
  <c r="Q31" i="86"/>
  <c r="O31" i="86"/>
  <c r="T31" i="86" s="1"/>
  <c r="M31" i="86"/>
  <c r="K31" i="86"/>
  <c r="I31" i="86"/>
  <c r="N31" i="86" s="1"/>
  <c r="G31" i="86"/>
  <c r="E31" i="86"/>
  <c r="C31" i="86"/>
  <c r="H31" i="86" s="1"/>
  <c r="S30" i="86"/>
  <c r="Q30" i="86"/>
  <c r="O30" i="86"/>
  <c r="T30" i="86" s="1"/>
  <c r="M30" i="86"/>
  <c r="K30" i="86"/>
  <c r="I30" i="86"/>
  <c r="N30" i="86" s="1"/>
  <c r="G30" i="86"/>
  <c r="E30" i="86"/>
  <c r="C30" i="86"/>
  <c r="H30" i="86" s="1"/>
  <c r="S29" i="86"/>
  <c r="S33" i="86" s="1"/>
  <c r="Q29" i="86"/>
  <c r="O29" i="86"/>
  <c r="M29" i="86"/>
  <c r="M33" i="86" s="1"/>
  <c r="K29" i="86"/>
  <c r="K33" i="86" s="1"/>
  <c r="I29" i="86"/>
  <c r="N29" i="86" s="1"/>
  <c r="G29" i="86"/>
  <c r="G33" i="86" s="1"/>
  <c r="E29" i="86"/>
  <c r="E33" i="86" s="1"/>
  <c r="C29" i="86"/>
  <c r="R28" i="86"/>
  <c r="P28" i="86"/>
  <c r="L28" i="86"/>
  <c r="J28" i="86"/>
  <c r="F28" i="86"/>
  <c r="D28" i="86"/>
  <c r="S27" i="86"/>
  <c r="Q27" i="86"/>
  <c r="O27" i="86"/>
  <c r="T27" i="86" s="1"/>
  <c r="M27" i="86"/>
  <c r="K27" i="86"/>
  <c r="I27" i="86"/>
  <c r="N27" i="86" s="1"/>
  <c r="G27" i="86"/>
  <c r="E27" i="86"/>
  <c r="C27" i="86"/>
  <c r="H27" i="86" s="1"/>
  <c r="S26" i="86"/>
  <c r="Q26" i="86"/>
  <c r="Q28" i="86" s="1"/>
  <c r="O26" i="86"/>
  <c r="O28" i="86" s="1"/>
  <c r="T28" i="86" s="1"/>
  <c r="M26" i="86"/>
  <c r="M28" i="86" s="1"/>
  <c r="K26" i="86"/>
  <c r="K28" i="86" s="1"/>
  <c r="I26" i="86"/>
  <c r="I28" i="86" s="1"/>
  <c r="N28" i="86" s="1"/>
  <c r="G26" i="86"/>
  <c r="G28" i="86" s="1"/>
  <c r="E26" i="86"/>
  <c r="E28" i="86" s="1"/>
  <c r="C26" i="86"/>
  <c r="C28" i="86" s="1"/>
  <c r="H28" i="86" s="1"/>
  <c r="U28" i="86" s="1"/>
  <c r="R24" i="86"/>
  <c r="P24" i="86"/>
  <c r="L24" i="86"/>
  <c r="J24" i="86"/>
  <c r="F24" i="86"/>
  <c r="D24" i="86"/>
  <c r="S23" i="86"/>
  <c r="Q23" i="86"/>
  <c r="O23" i="86"/>
  <c r="T23" i="86" s="1"/>
  <c r="M23" i="86"/>
  <c r="K23" i="86"/>
  <c r="I23" i="86"/>
  <c r="N23" i="86" s="1"/>
  <c r="G23" i="86"/>
  <c r="E23" i="86"/>
  <c r="C23" i="86"/>
  <c r="H23" i="86" s="1"/>
  <c r="T22" i="86"/>
  <c r="S22" i="86"/>
  <c r="Q22" i="86"/>
  <c r="O22" i="86"/>
  <c r="N22" i="86"/>
  <c r="M22" i="86"/>
  <c r="K22" i="86"/>
  <c r="I22" i="86"/>
  <c r="H22" i="86"/>
  <c r="U22" i="86" s="1"/>
  <c r="G22" i="86"/>
  <c r="E22" i="86"/>
  <c r="C22" i="86"/>
  <c r="S21" i="86"/>
  <c r="Q21" i="86"/>
  <c r="O21" i="86"/>
  <c r="T21" i="86" s="1"/>
  <c r="M21" i="86"/>
  <c r="K21" i="86"/>
  <c r="I21" i="86"/>
  <c r="N21" i="86" s="1"/>
  <c r="G21" i="86"/>
  <c r="E21" i="86"/>
  <c r="C21" i="86"/>
  <c r="H21" i="86" s="1"/>
  <c r="S20" i="86"/>
  <c r="Q20" i="86"/>
  <c r="Q24" i="86" s="1"/>
  <c r="O20" i="86"/>
  <c r="O24" i="86" s="1"/>
  <c r="M20" i="86"/>
  <c r="M24" i="86" s="1"/>
  <c r="K20" i="86"/>
  <c r="I20" i="86"/>
  <c r="I24" i="86" s="1"/>
  <c r="G20" i="86"/>
  <c r="G24" i="86" s="1"/>
  <c r="E20" i="86"/>
  <c r="E24" i="86" s="1"/>
  <c r="C20" i="86"/>
  <c r="C24" i="86" s="1"/>
  <c r="R19" i="86"/>
  <c r="P19" i="86"/>
  <c r="L19" i="86"/>
  <c r="J19" i="86"/>
  <c r="F19" i="86"/>
  <c r="D19" i="86"/>
  <c r="S18" i="86"/>
  <c r="Q18" i="86"/>
  <c r="O18" i="86"/>
  <c r="T18" i="86" s="1"/>
  <c r="M18" i="86"/>
  <c r="K18" i="86"/>
  <c r="I18" i="86"/>
  <c r="N18" i="86" s="1"/>
  <c r="G18" i="86"/>
  <c r="E18" i="86"/>
  <c r="C18" i="86"/>
  <c r="H18" i="86" s="1"/>
  <c r="S17" i="86"/>
  <c r="Q17" i="86"/>
  <c r="O17" i="86"/>
  <c r="T17" i="86" s="1"/>
  <c r="M17" i="86"/>
  <c r="K17" i="86"/>
  <c r="I17" i="86"/>
  <c r="N17" i="86" s="1"/>
  <c r="G17" i="86"/>
  <c r="E17" i="86"/>
  <c r="C17" i="86"/>
  <c r="H17" i="86" s="1"/>
  <c r="S16" i="86"/>
  <c r="S19" i="86" s="1"/>
  <c r="Q16" i="86"/>
  <c r="Q19" i="86" s="1"/>
  <c r="O16" i="86"/>
  <c r="O19" i="86" s="1"/>
  <c r="T19" i="86" s="1"/>
  <c r="M16" i="86"/>
  <c r="M19" i="86" s="1"/>
  <c r="K16" i="86"/>
  <c r="K19" i="86" s="1"/>
  <c r="I16" i="86"/>
  <c r="I19" i="86" s="1"/>
  <c r="N19" i="86" s="1"/>
  <c r="G16" i="86"/>
  <c r="G19" i="86" s="1"/>
  <c r="E16" i="86"/>
  <c r="E19" i="86" s="1"/>
  <c r="C16" i="86"/>
  <c r="C19" i="86" s="1"/>
  <c r="H19" i="86" s="1"/>
  <c r="U19" i="86" s="1"/>
  <c r="R15" i="86"/>
  <c r="P15" i="86"/>
  <c r="L15" i="86"/>
  <c r="J15" i="86"/>
  <c r="F15" i="86"/>
  <c r="D15" i="86"/>
  <c r="S14" i="86"/>
  <c r="Q14" i="86"/>
  <c r="O14" i="86"/>
  <c r="T14" i="86" s="1"/>
  <c r="M14" i="86"/>
  <c r="K14" i="86"/>
  <c r="I14" i="86"/>
  <c r="N14" i="86" s="1"/>
  <c r="G14" i="86"/>
  <c r="E14" i="86"/>
  <c r="C14" i="86"/>
  <c r="H14" i="86" s="1"/>
  <c r="S13" i="86"/>
  <c r="Q13" i="86"/>
  <c r="O13" i="86"/>
  <c r="T13" i="86" s="1"/>
  <c r="M13" i="86"/>
  <c r="K13" i="86"/>
  <c r="I13" i="86"/>
  <c r="N13" i="86" s="1"/>
  <c r="G13" i="86"/>
  <c r="E13" i="86"/>
  <c r="C13" i="86"/>
  <c r="H13" i="86" s="1"/>
  <c r="U13" i="86" s="1"/>
  <c r="S12" i="86"/>
  <c r="Q12" i="86"/>
  <c r="Q15" i="86" s="1"/>
  <c r="O12" i="86"/>
  <c r="M12" i="86"/>
  <c r="K12" i="86"/>
  <c r="K15" i="86" s="1"/>
  <c r="I12" i="86"/>
  <c r="N12" i="86" s="1"/>
  <c r="G12" i="86"/>
  <c r="E12" i="86"/>
  <c r="C12" i="86"/>
  <c r="R11" i="86"/>
  <c r="P11" i="86"/>
  <c r="L11" i="86"/>
  <c r="J11" i="86"/>
  <c r="F11" i="86"/>
  <c r="D11" i="86"/>
  <c r="S10" i="86"/>
  <c r="Q10" i="86"/>
  <c r="O10" i="86"/>
  <c r="T10" i="86" s="1"/>
  <c r="M10" i="86"/>
  <c r="K10" i="86"/>
  <c r="I10" i="86"/>
  <c r="N10" i="86" s="1"/>
  <c r="G10" i="86"/>
  <c r="E10" i="86"/>
  <c r="C10" i="86"/>
  <c r="H10" i="86" s="1"/>
  <c r="S9" i="86"/>
  <c r="Q9" i="86"/>
  <c r="O9" i="86"/>
  <c r="T9" i="86" s="1"/>
  <c r="M9" i="86"/>
  <c r="K9" i="86"/>
  <c r="I9" i="86"/>
  <c r="N9" i="86" s="1"/>
  <c r="G9" i="86"/>
  <c r="E9" i="86"/>
  <c r="C9" i="86"/>
  <c r="H9" i="86" s="1"/>
  <c r="S8" i="86"/>
  <c r="Q8" i="86"/>
  <c r="O8" i="86"/>
  <c r="T8" i="86" s="1"/>
  <c r="M8" i="86"/>
  <c r="K8" i="86"/>
  <c r="I8" i="86"/>
  <c r="N8" i="86" s="1"/>
  <c r="G8" i="86"/>
  <c r="E8" i="86"/>
  <c r="C8" i="86"/>
  <c r="H8" i="86" s="1"/>
  <c r="S7" i="86"/>
  <c r="S11" i="86" s="1"/>
  <c r="Q7" i="86"/>
  <c r="O7" i="86"/>
  <c r="M7" i="86"/>
  <c r="K7" i="86"/>
  <c r="K11" i="86" s="1"/>
  <c r="I7" i="86"/>
  <c r="G7" i="86"/>
  <c r="E7" i="86"/>
  <c r="E11" i="86" s="1"/>
  <c r="C7" i="86"/>
  <c r="C11" i="86" s="1"/>
  <c r="H11" i="86" s="1"/>
  <c r="U9" i="86" l="1"/>
  <c r="U14" i="86"/>
  <c r="U17" i="86"/>
  <c r="M11" i="86"/>
  <c r="C15" i="86"/>
  <c r="H15" i="86" s="1"/>
  <c r="S15" i="86"/>
  <c r="H37" i="86"/>
  <c r="H41" i="86"/>
  <c r="I11" i="86"/>
  <c r="N11" i="86" s="1"/>
  <c r="Q11" i="86"/>
  <c r="G15" i="86"/>
  <c r="G25" i="86" s="1"/>
  <c r="O15" i="86"/>
  <c r="T15" i="86" s="1"/>
  <c r="H16" i="86"/>
  <c r="U16" i="86" s="1"/>
  <c r="N16" i="86"/>
  <c r="T16" i="86"/>
  <c r="U46" i="86"/>
  <c r="U30" i="86"/>
  <c r="U47" i="86"/>
  <c r="G11" i="86"/>
  <c r="O11" i="86"/>
  <c r="T11" i="86" s="1"/>
  <c r="U10" i="86"/>
  <c r="E15" i="86"/>
  <c r="M15" i="86"/>
  <c r="H20" i="86"/>
  <c r="N20" i="86"/>
  <c r="T20" i="86"/>
  <c r="F25" i="86"/>
  <c r="R25" i="86"/>
  <c r="H26" i="86"/>
  <c r="U26" i="86" s="1"/>
  <c r="N26" i="86"/>
  <c r="T26" i="86"/>
  <c r="C33" i="86"/>
  <c r="H33" i="86" s="1"/>
  <c r="U35" i="86"/>
  <c r="J39" i="86"/>
  <c r="U41" i="86"/>
  <c r="S50" i="86"/>
  <c r="J50" i="86"/>
  <c r="J51" i="86" s="1"/>
  <c r="J25" i="86"/>
  <c r="D39" i="86"/>
  <c r="D51" i="86" s="1"/>
  <c r="L39" i="86"/>
  <c r="K24" i="86"/>
  <c r="K25" i="86" s="1"/>
  <c r="L25" i="86"/>
  <c r="O33" i="86"/>
  <c r="T33" i="86" s="1"/>
  <c r="P39" i="86"/>
  <c r="S24" i="86"/>
  <c r="S25" i="86" s="1"/>
  <c r="D25" i="86"/>
  <c r="P25" i="86"/>
  <c r="S28" i="86"/>
  <c r="Q33" i="86"/>
  <c r="Q39" i="86" s="1"/>
  <c r="H34" i="86"/>
  <c r="N34" i="86"/>
  <c r="T34" i="86"/>
  <c r="F39" i="86"/>
  <c r="F51" i="86" s="1"/>
  <c r="R39" i="86"/>
  <c r="H40" i="86"/>
  <c r="N40" i="86"/>
  <c r="T40" i="86"/>
  <c r="F50" i="86"/>
  <c r="R50" i="86"/>
  <c r="H38" i="86"/>
  <c r="N38" i="86"/>
  <c r="I39" i="86"/>
  <c r="N39" i="86" s="1"/>
  <c r="T38" i="86"/>
  <c r="C50" i="86"/>
  <c r="H49" i="86"/>
  <c r="K50" i="86"/>
  <c r="H24" i="86"/>
  <c r="N24" i="86"/>
  <c r="T24" i="86"/>
  <c r="U21" i="86"/>
  <c r="U27" i="86"/>
  <c r="U31" i="86"/>
  <c r="E39" i="86"/>
  <c r="K39" i="86"/>
  <c r="U37" i="86"/>
  <c r="U43" i="86"/>
  <c r="L51" i="86"/>
  <c r="E50" i="86"/>
  <c r="M50" i="86"/>
  <c r="U48" i="86"/>
  <c r="U11" i="86"/>
  <c r="U18" i="86"/>
  <c r="E25" i="86"/>
  <c r="Q25" i="86"/>
  <c r="U23" i="86"/>
  <c r="G39" i="86"/>
  <c r="M39" i="86"/>
  <c r="S39" i="86"/>
  <c r="G50" i="86"/>
  <c r="O50" i="86"/>
  <c r="T49" i="86"/>
  <c r="U8" i="86"/>
  <c r="M25" i="86"/>
  <c r="Q50" i="86"/>
  <c r="R51" i="86"/>
  <c r="H7" i="86"/>
  <c r="N7" i="86"/>
  <c r="T7" i="86"/>
  <c r="I15" i="86"/>
  <c r="N15" i="86" s="1"/>
  <c r="U15" i="86" s="1"/>
  <c r="I33" i="86"/>
  <c r="N33" i="86" s="1"/>
  <c r="U33" i="86" s="1"/>
  <c r="I49" i="86"/>
  <c r="H29" i="86"/>
  <c r="T29" i="86"/>
  <c r="H45" i="86"/>
  <c r="T45" i="86"/>
  <c r="H12" i="86"/>
  <c r="T12" i="86"/>
  <c r="C25" i="86" l="1"/>
  <c r="H25" i="86" s="1"/>
  <c r="P51" i="86"/>
  <c r="S51" i="86"/>
  <c r="U40" i="86"/>
  <c r="U20" i="86"/>
  <c r="Q51" i="86"/>
  <c r="G51" i="86"/>
  <c r="O25" i="86"/>
  <c r="T25" i="86" s="1"/>
  <c r="U34" i="86"/>
  <c r="O39" i="86"/>
  <c r="T39" i="86" s="1"/>
  <c r="C39" i="86"/>
  <c r="H39" i="86" s="1"/>
  <c r="N49" i="86"/>
  <c r="U49" i="86" s="1"/>
  <c r="I50" i="86"/>
  <c r="M51" i="86"/>
  <c r="U45" i="86"/>
  <c r="U7" i="86"/>
  <c r="E51" i="86"/>
  <c r="I25" i="86"/>
  <c r="N25" i="86" s="1"/>
  <c r="H50" i="86"/>
  <c r="U38" i="86"/>
  <c r="U12" i="86"/>
  <c r="U29" i="86"/>
  <c r="T50" i="86"/>
  <c r="O51" i="86"/>
  <c r="T51" i="86" s="1"/>
  <c r="U24" i="86"/>
  <c r="K51" i="86"/>
  <c r="C51" i="86" l="1"/>
  <c r="H51" i="86" s="1"/>
  <c r="U39" i="86"/>
  <c r="U25" i="86"/>
  <c r="I51" i="86"/>
  <c r="N51" i="86" s="1"/>
  <c r="N50" i="86"/>
  <c r="U50" i="86" s="1"/>
  <c r="U51" i="86" l="1"/>
  <c r="M60" i="86"/>
  <c r="H60" i="86"/>
  <c r="M59" i="86"/>
  <c r="M57" i="86"/>
  <c r="M56" i="86"/>
  <c r="M54" i="86"/>
  <c r="J54" i="86"/>
  <c r="J53" i="86"/>
  <c r="J52" i="86"/>
  <c r="M60" i="85" l="1"/>
  <c r="H60" i="85"/>
  <c r="M59" i="85"/>
  <c r="M57" i="85"/>
  <c r="M56" i="85"/>
  <c r="M54" i="85"/>
  <c r="J54" i="85"/>
  <c r="J53" i="85"/>
  <c r="J52" i="85"/>
  <c r="M54" i="84" l="1"/>
  <c r="M56" i="84"/>
  <c r="M57" i="84"/>
  <c r="M59" i="84"/>
  <c r="H60" i="84"/>
  <c r="M60" i="84"/>
  <c r="J52" i="84" l="1"/>
  <c r="J53" i="84" l="1"/>
  <c r="J54" i="84" l="1"/>
  <c r="R49" i="82" l="1"/>
  <c r="P49" i="82"/>
  <c r="L49" i="82"/>
  <c r="J49" i="82"/>
  <c r="F49" i="82"/>
  <c r="D49" i="82"/>
  <c r="S48" i="82"/>
  <c r="Q48" i="82"/>
  <c r="O48" i="82"/>
  <c r="T48" i="82" s="1"/>
  <c r="M48" i="82"/>
  <c r="K48" i="82"/>
  <c r="I48" i="82"/>
  <c r="N48" i="82" s="1"/>
  <c r="G48" i="82"/>
  <c r="E48" i="82"/>
  <c r="C48" i="82"/>
  <c r="H48" i="82" s="1"/>
  <c r="S47" i="82"/>
  <c r="Q47" i="82"/>
  <c r="O47" i="82"/>
  <c r="T47" i="82" s="1"/>
  <c r="M47" i="82"/>
  <c r="K47" i="82"/>
  <c r="I47" i="82"/>
  <c r="N47" i="82" s="1"/>
  <c r="G47" i="82"/>
  <c r="E47" i="82"/>
  <c r="C47" i="82"/>
  <c r="H47" i="82" s="1"/>
  <c r="S46" i="82"/>
  <c r="Q46" i="82"/>
  <c r="O46" i="82"/>
  <c r="T46" i="82" s="1"/>
  <c r="M46" i="82"/>
  <c r="K46" i="82"/>
  <c r="I46" i="82"/>
  <c r="N46" i="82" s="1"/>
  <c r="G46" i="82"/>
  <c r="E46" i="82"/>
  <c r="C46" i="82"/>
  <c r="H46" i="82" s="1"/>
  <c r="S45" i="82"/>
  <c r="Q45" i="82"/>
  <c r="O45" i="82"/>
  <c r="M45" i="82"/>
  <c r="K45" i="82"/>
  <c r="I45" i="82"/>
  <c r="N45" i="82" s="1"/>
  <c r="G45" i="82"/>
  <c r="E45" i="82"/>
  <c r="C45" i="82"/>
  <c r="R44" i="82"/>
  <c r="P44" i="82"/>
  <c r="L44" i="82"/>
  <c r="J44" i="82"/>
  <c r="F44" i="82"/>
  <c r="D44" i="82"/>
  <c r="S43" i="82"/>
  <c r="Q43" i="82"/>
  <c r="O43" i="82"/>
  <c r="T43" i="82" s="1"/>
  <c r="M43" i="82"/>
  <c r="K43" i="82"/>
  <c r="I43" i="82"/>
  <c r="N43" i="82" s="1"/>
  <c r="G43" i="82"/>
  <c r="E43" i="82"/>
  <c r="C43" i="82"/>
  <c r="H43" i="82" s="1"/>
  <c r="S42" i="82"/>
  <c r="Q42" i="82"/>
  <c r="O42" i="82"/>
  <c r="T42" i="82" s="1"/>
  <c r="M42" i="82"/>
  <c r="K42" i="82"/>
  <c r="I42" i="82"/>
  <c r="N42" i="82" s="1"/>
  <c r="G42" i="82"/>
  <c r="E42" i="82"/>
  <c r="C42" i="82"/>
  <c r="H42" i="82" s="1"/>
  <c r="S41" i="82"/>
  <c r="Q41" i="82"/>
  <c r="O41" i="82"/>
  <c r="T41" i="82" s="1"/>
  <c r="M41" i="82"/>
  <c r="K41" i="82"/>
  <c r="I41" i="82"/>
  <c r="N41" i="82" s="1"/>
  <c r="G41" i="82"/>
  <c r="E41" i="82"/>
  <c r="C41" i="82"/>
  <c r="H41" i="82" s="1"/>
  <c r="S40" i="82"/>
  <c r="Q40" i="82"/>
  <c r="O40" i="82"/>
  <c r="M40" i="82"/>
  <c r="K40" i="82"/>
  <c r="I40" i="82"/>
  <c r="G40" i="82"/>
  <c r="E40" i="82"/>
  <c r="C40" i="82"/>
  <c r="R38" i="82"/>
  <c r="P38" i="82"/>
  <c r="L38" i="82"/>
  <c r="J38" i="82"/>
  <c r="F38" i="82"/>
  <c r="D38" i="82"/>
  <c r="S37" i="82"/>
  <c r="Q37" i="82"/>
  <c r="O37" i="82"/>
  <c r="T37" i="82" s="1"/>
  <c r="M37" i="82"/>
  <c r="K37" i="82"/>
  <c r="I37" i="82"/>
  <c r="N37" i="82" s="1"/>
  <c r="G37" i="82"/>
  <c r="E37" i="82"/>
  <c r="C37" i="82"/>
  <c r="H37" i="82" s="1"/>
  <c r="S36" i="82"/>
  <c r="Q36" i="82"/>
  <c r="O36" i="82"/>
  <c r="T36" i="82" s="1"/>
  <c r="M36" i="82"/>
  <c r="K36" i="82"/>
  <c r="I36" i="82"/>
  <c r="N36" i="82" s="1"/>
  <c r="G36" i="82"/>
  <c r="E36" i="82"/>
  <c r="C36" i="82"/>
  <c r="H36" i="82" s="1"/>
  <c r="S35" i="82"/>
  <c r="Q35" i="82"/>
  <c r="O35" i="82"/>
  <c r="T35" i="82" s="1"/>
  <c r="M35" i="82"/>
  <c r="K35" i="82"/>
  <c r="I35" i="82"/>
  <c r="N35" i="82" s="1"/>
  <c r="G35" i="82"/>
  <c r="E35" i="82"/>
  <c r="C35" i="82"/>
  <c r="H35" i="82" s="1"/>
  <c r="S34" i="82"/>
  <c r="Q34" i="82"/>
  <c r="O34" i="82"/>
  <c r="M34" i="82"/>
  <c r="K34" i="82"/>
  <c r="I34" i="82"/>
  <c r="G34" i="82"/>
  <c r="E34" i="82"/>
  <c r="C34" i="82"/>
  <c r="R33" i="82"/>
  <c r="P33" i="82"/>
  <c r="L33" i="82"/>
  <c r="J33" i="82"/>
  <c r="F33" i="82"/>
  <c r="D33" i="82"/>
  <c r="S32" i="82"/>
  <c r="Q32" i="82"/>
  <c r="O32" i="82"/>
  <c r="T32" i="82" s="1"/>
  <c r="M32" i="82"/>
  <c r="K32" i="82"/>
  <c r="I32" i="82"/>
  <c r="N32" i="82" s="1"/>
  <c r="G32" i="82"/>
  <c r="E32" i="82"/>
  <c r="C32" i="82"/>
  <c r="H32" i="82" s="1"/>
  <c r="S31" i="82"/>
  <c r="Q31" i="82"/>
  <c r="O31" i="82"/>
  <c r="T31" i="82" s="1"/>
  <c r="M31" i="82"/>
  <c r="K31" i="82"/>
  <c r="I31" i="82"/>
  <c r="N31" i="82" s="1"/>
  <c r="G31" i="82"/>
  <c r="E31" i="82"/>
  <c r="C31" i="82"/>
  <c r="H31" i="82" s="1"/>
  <c r="S30" i="82"/>
  <c r="Q30" i="82"/>
  <c r="O30" i="82"/>
  <c r="T30" i="82" s="1"/>
  <c r="M30" i="82"/>
  <c r="K30" i="82"/>
  <c r="I30" i="82"/>
  <c r="N30" i="82" s="1"/>
  <c r="G30" i="82"/>
  <c r="E30" i="82"/>
  <c r="C30" i="82"/>
  <c r="H30" i="82" s="1"/>
  <c r="S29" i="82"/>
  <c r="Q29" i="82"/>
  <c r="O29" i="82"/>
  <c r="M29" i="82"/>
  <c r="K29" i="82"/>
  <c r="I29" i="82"/>
  <c r="N29" i="82" s="1"/>
  <c r="G29" i="82"/>
  <c r="E29" i="82"/>
  <c r="C29" i="82"/>
  <c r="R28" i="82"/>
  <c r="P28" i="82"/>
  <c r="L28" i="82"/>
  <c r="J28" i="82"/>
  <c r="F28" i="82"/>
  <c r="D28" i="82"/>
  <c r="S27" i="82"/>
  <c r="Q27" i="82"/>
  <c r="O27" i="82"/>
  <c r="T27" i="82" s="1"/>
  <c r="M27" i="82"/>
  <c r="K27" i="82"/>
  <c r="I27" i="82"/>
  <c r="N27" i="82" s="1"/>
  <c r="G27" i="82"/>
  <c r="E27" i="82"/>
  <c r="C27" i="82"/>
  <c r="H27" i="82" s="1"/>
  <c r="S26" i="82"/>
  <c r="Q26" i="82"/>
  <c r="O26" i="82"/>
  <c r="M26" i="82"/>
  <c r="K26" i="82"/>
  <c r="K28" i="82" s="1"/>
  <c r="I26" i="82"/>
  <c r="N26" i="82" s="1"/>
  <c r="G26" i="82"/>
  <c r="G28" i="82" s="1"/>
  <c r="E26" i="82"/>
  <c r="C26" i="82"/>
  <c r="C28" i="82" s="1"/>
  <c r="R24" i="82"/>
  <c r="P24" i="82"/>
  <c r="L24" i="82"/>
  <c r="J24" i="82"/>
  <c r="F24" i="82"/>
  <c r="D24" i="82"/>
  <c r="S23" i="82"/>
  <c r="Q23" i="82"/>
  <c r="O23" i="82"/>
  <c r="T23" i="82" s="1"/>
  <c r="M23" i="82"/>
  <c r="K23" i="82"/>
  <c r="I23" i="82"/>
  <c r="N23" i="82" s="1"/>
  <c r="G23" i="82"/>
  <c r="E23" i="82"/>
  <c r="C23" i="82"/>
  <c r="H23" i="82" s="1"/>
  <c r="S22" i="82"/>
  <c r="Q22" i="82"/>
  <c r="O22" i="82"/>
  <c r="T22" i="82" s="1"/>
  <c r="M22" i="82"/>
  <c r="K22" i="82"/>
  <c r="I22" i="82"/>
  <c r="N22" i="82" s="1"/>
  <c r="G22" i="82"/>
  <c r="E22" i="82"/>
  <c r="C22" i="82"/>
  <c r="H22" i="82" s="1"/>
  <c r="S21" i="82"/>
  <c r="Q21" i="82"/>
  <c r="O21" i="82"/>
  <c r="T21" i="82" s="1"/>
  <c r="M21" i="82"/>
  <c r="K21" i="82"/>
  <c r="I21" i="82"/>
  <c r="N21" i="82" s="1"/>
  <c r="G21" i="82"/>
  <c r="E21" i="82"/>
  <c r="C21" i="82"/>
  <c r="H21" i="82" s="1"/>
  <c r="S20" i="82"/>
  <c r="Q20" i="82"/>
  <c r="O20" i="82"/>
  <c r="T20" i="82" s="1"/>
  <c r="M20" i="82"/>
  <c r="K20" i="82"/>
  <c r="I20" i="82"/>
  <c r="N20" i="82" s="1"/>
  <c r="G20" i="82"/>
  <c r="E20" i="82"/>
  <c r="C20" i="82"/>
  <c r="H20" i="82" s="1"/>
  <c r="R19" i="82"/>
  <c r="P19" i="82"/>
  <c r="L19" i="82"/>
  <c r="J19" i="82"/>
  <c r="F19" i="82"/>
  <c r="D19" i="82"/>
  <c r="S18" i="82"/>
  <c r="Q18" i="82"/>
  <c r="O18" i="82"/>
  <c r="T18" i="82" s="1"/>
  <c r="M18" i="82"/>
  <c r="K18" i="82"/>
  <c r="I18" i="82"/>
  <c r="N18" i="82" s="1"/>
  <c r="G18" i="82"/>
  <c r="E18" i="82"/>
  <c r="C18" i="82"/>
  <c r="H18" i="82" s="1"/>
  <c r="S17" i="82"/>
  <c r="Q17" i="82"/>
  <c r="O17" i="82"/>
  <c r="T17" i="82" s="1"/>
  <c r="M17" i="82"/>
  <c r="K17" i="82"/>
  <c r="I17" i="82"/>
  <c r="N17" i="82" s="1"/>
  <c r="G17" i="82"/>
  <c r="E17" i="82"/>
  <c r="C17" i="82"/>
  <c r="H17" i="82" s="1"/>
  <c r="S16" i="82"/>
  <c r="Q16" i="82"/>
  <c r="O16" i="82"/>
  <c r="M16" i="82"/>
  <c r="K16" i="82"/>
  <c r="I16" i="82"/>
  <c r="G16" i="82"/>
  <c r="E16" i="82"/>
  <c r="C16" i="82"/>
  <c r="R15" i="82"/>
  <c r="P15" i="82"/>
  <c r="L15" i="82"/>
  <c r="J15" i="82"/>
  <c r="F15" i="82"/>
  <c r="D15" i="82"/>
  <c r="S14" i="82"/>
  <c r="Q14" i="82"/>
  <c r="O14" i="82"/>
  <c r="T14" i="82" s="1"/>
  <c r="M14" i="82"/>
  <c r="K14" i="82"/>
  <c r="I14" i="82"/>
  <c r="N14" i="82" s="1"/>
  <c r="G14" i="82"/>
  <c r="E14" i="82"/>
  <c r="C14" i="82"/>
  <c r="H14" i="82" s="1"/>
  <c r="S13" i="82"/>
  <c r="Q13" i="82"/>
  <c r="O13" i="82"/>
  <c r="T13" i="82" s="1"/>
  <c r="M13" i="82"/>
  <c r="K13" i="82"/>
  <c r="I13" i="82"/>
  <c r="N13" i="82" s="1"/>
  <c r="G13" i="82"/>
  <c r="E13" i="82"/>
  <c r="C13" i="82"/>
  <c r="H13" i="82" s="1"/>
  <c r="S12" i="82"/>
  <c r="Q12" i="82"/>
  <c r="O12" i="82"/>
  <c r="T12" i="82" s="1"/>
  <c r="M12" i="82"/>
  <c r="K12" i="82"/>
  <c r="I12" i="82"/>
  <c r="N12" i="82" s="1"/>
  <c r="G12" i="82"/>
  <c r="E12" i="82"/>
  <c r="C12" i="82"/>
  <c r="H12" i="82" s="1"/>
  <c r="R11" i="82"/>
  <c r="P11" i="82"/>
  <c r="L11" i="82"/>
  <c r="J11" i="82"/>
  <c r="F11" i="82"/>
  <c r="D11" i="82"/>
  <c r="S10" i="82"/>
  <c r="Q10" i="82"/>
  <c r="O10" i="82"/>
  <c r="T10" i="82" s="1"/>
  <c r="M10" i="82"/>
  <c r="K10" i="82"/>
  <c r="I10" i="82"/>
  <c r="N10" i="82" s="1"/>
  <c r="G10" i="82"/>
  <c r="E10" i="82"/>
  <c r="C10" i="82"/>
  <c r="H10" i="82" s="1"/>
  <c r="S9" i="82"/>
  <c r="Q9" i="82"/>
  <c r="O9" i="82"/>
  <c r="T9" i="82" s="1"/>
  <c r="M9" i="82"/>
  <c r="K9" i="82"/>
  <c r="I9" i="82"/>
  <c r="N9" i="82" s="1"/>
  <c r="G9" i="82"/>
  <c r="E9" i="82"/>
  <c r="C9" i="82"/>
  <c r="H9" i="82" s="1"/>
  <c r="S8" i="82"/>
  <c r="Q8" i="82"/>
  <c r="O8" i="82"/>
  <c r="T8" i="82" s="1"/>
  <c r="M8" i="82"/>
  <c r="K8" i="82"/>
  <c r="I8" i="82"/>
  <c r="N8" i="82" s="1"/>
  <c r="G8" i="82"/>
  <c r="E8" i="82"/>
  <c r="C8" i="82"/>
  <c r="H8" i="82" s="1"/>
  <c r="S7" i="82"/>
  <c r="Q7" i="82"/>
  <c r="O7" i="82"/>
  <c r="M7" i="82"/>
  <c r="K7" i="82"/>
  <c r="I7" i="82"/>
  <c r="G7" i="82"/>
  <c r="E7" i="82"/>
  <c r="C7" i="82"/>
  <c r="M60" i="82"/>
  <c r="H60" i="82"/>
  <c r="M59" i="82"/>
  <c r="M57" i="82"/>
  <c r="M56" i="82"/>
  <c r="M54" i="82"/>
  <c r="O28" i="82" l="1"/>
  <c r="G33" i="82"/>
  <c r="O33" i="82"/>
  <c r="Q15" i="82"/>
  <c r="K15" i="82"/>
  <c r="I11" i="82"/>
  <c r="Q11" i="82"/>
  <c r="U36" i="82"/>
  <c r="G19" i="82"/>
  <c r="O19" i="82"/>
  <c r="U18" i="82"/>
  <c r="N28" i="82"/>
  <c r="Q28" i="82"/>
  <c r="M38" i="82"/>
  <c r="C44" i="82"/>
  <c r="S44" i="82"/>
  <c r="Q24" i="82"/>
  <c r="E28" i="82"/>
  <c r="U30" i="82"/>
  <c r="U42" i="82"/>
  <c r="U10" i="82"/>
  <c r="E11" i="82"/>
  <c r="E15" i="82"/>
  <c r="M19" i="82"/>
  <c r="E24" i="82"/>
  <c r="K24" i="82"/>
  <c r="C38" i="82"/>
  <c r="S38" i="82"/>
  <c r="I44" i="82"/>
  <c r="G49" i="82"/>
  <c r="O49" i="82"/>
  <c r="L50" i="82"/>
  <c r="I19" i="82"/>
  <c r="S28" i="82"/>
  <c r="G38" i="82"/>
  <c r="O38" i="82"/>
  <c r="M44" i="82"/>
  <c r="C49" i="82"/>
  <c r="K49" i="82"/>
  <c r="S49" i="82"/>
  <c r="M11" i="82"/>
  <c r="U8" i="82"/>
  <c r="C19" i="82"/>
  <c r="S19" i="82"/>
  <c r="H26" i="82"/>
  <c r="T26" i="82"/>
  <c r="C33" i="82"/>
  <c r="K33" i="82"/>
  <c r="S33" i="82"/>
  <c r="I38" i="82"/>
  <c r="G44" i="82"/>
  <c r="G50" i="82" s="1"/>
  <c r="O44" i="82"/>
  <c r="F50" i="82"/>
  <c r="R50" i="82"/>
  <c r="U14" i="82"/>
  <c r="U22" i="82"/>
  <c r="U47" i="82"/>
  <c r="U32" i="82"/>
  <c r="G11" i="82"/>
  <c r="O11" i="82"/>
  <c r="G15" i="82"/>
  <c r="M15" i="82"/>
  <c r="S15" i="82"/>
  <c r="H16" i="82"/>
  <c r="H19" i="82" s="1"/>
  <c r="N16" i="82"/>
  <c r="N19" i="82" s="1"/>
  <c r="T16" i="82"/>
  <c r="T19" i="82" s="1"/>
  <c r="C24" i="82"/>
  <c r="I24" i="82"/>
  <c r="O24" i="82"/>
  <c r="U21" i="82"/>
  <c r="J25" i="82"/>
  <c r="I28" i="82"/>
  <c r="E33" i="82"/>
  <c r="M33" i="82"/>
  <c r="E38" i="82"/>
  <c r="K38" i="82"/>
  <c r="Q38" i="82"/>
  <c r="L39" i="82"/>
  <c r="E44" i="82"/>
  <c r="K44" i="82"/>
  <c r="Q44" i="82"/>
  <c r="U43" i="82"/>
  <c r="E49" i="82"/>
  <c r="E50" i="82" s="1"/>
  <c r="M49" i="82"/>
  <c r="U46" i="82"/>
  <c r="J50" i="82"/>
  <c r="N15" i="82"/>
  <c r="L25" i="82"/>
  <c r="D39" i="82"/>
  <c r="P39" i="82"/>
  <c r="C11" i="82"/>
  <c r="K11" i="82"/>
  <c r="S11" i="82"/>
  <c r="C15" i="82"/>
  <c r="I15" i="82"/>
  <c r="O15" i="82"/>
  <c r="U13" i="82"/>
  <c r="E19" i="82"/>
  <c r="K19" i="82"/>
  <c r="Q19" i="82"/>
  <c r="G24" i="82"/>
  <c r="G25" i="82" s="1"/>
  <c r="M24" i="82"/>
  <c r="S24" i="82"/>
  <c r="D25" i="82"/>
  <c r="P25" i="82"/>
  <c r="M28" i="82"/>
  <c r="N33" i="82"/>
  <c r="Q33" i="82"/>
  <c r="H34" i="82"/>
  <c r="H38" i="82" s="1"/>
  <c r="N34" i="82"/>
  <c r="N38" i="82" s="1"/>
  <c r="T34" i="82"/>
  <c r="T38" i="82" s="1"/>
  <c r="F39" i="82"/>
  <c r="R39" i="82"/>
  <c r="H40" i="82"/>
  <c r="H44" i="82" s="1"/>
  <c r="N40" i="82"/>
  <c r="N44" i="82" s="1"/>
  <c r="T40" i="82"/>
  <c r="T44" i="82" s="1"/>
  <c r="N49" i="82"/>
  <c r="Q49" i="82"/>
  <c r="D50" i="82"/>
  <c r="D51" i="82" s="1"/>
  <c r="P50" i="82"/>
  <c r="N24" i="82"/>
  <c r="F25" i="82"/>
  <c r="R25" i="82"/>
  <c r="J39" i="82"/>
  <c r="C25" i="82"/>
  <c r="U27" i="82"/>
  <c r="U31" i="82"/>
  <c r="K39" i="82"/>
  <c r="U37" i="82"/>
  <c r="H15" i="82"/>
  <c r="T15" i="82"/>
  <c r="U17" i="82"/>
  <c r="K25" i="82"/>
  <c r="U23" i="82"/>
  <c r="G39" i="82"/>
  <c r="M39" i="82"/>
  <c r="S39" i="82"/>
  <c r="U48" i="82"/>
  <c r="L51" i="82"/>
  <c r="U9" i="82"/>
  <c r="H24" i="82"/>
  <c r="T24" i="82"/>
  <c r="T28" i="82"/>
  <c r="C39" i="82"/>
  <c r="O39" i="82"/>
  <c r="U35" i="82"/>
  <c r="U41" i="82"/>
  <c r="C50" i="82"/>
  <c r="S50" i="82"/>
  <c r="H7" i="82"/>
  <c r="N7" i="82"/>
  <c r="N11" i="82" s="1"/>
  <c r="T7" i="82"/>
  <c r="T11" i="82" s="1"/>
  <c r="U12" i="82"/>
  <c r="U20" i="82"/>
  <c r="H28" i="82"/>
  <c r="I33" i="82"/>
  <c r="I39" i="82" s="1"/>
  <c r="I49" i="82"/>
  <c r="H29" i="82"/>
  <c r="T29" i="82"/>
  <c r="T33" i="82" s="1"/>
  <c r="H45" i="82"/>
  <c r="T45" i="82"/>
  <c r="T49" i="82" s="1"/>
  <c r="R49" i="81"/>
  <c r="P49" i="81"/>
  <c r="L49" i="81"/>
  <c r="J49" i="81"/>
  <c r="F49" i="81"/>
  <c r="D49" i="81"/>
  <c r="S48" i="81"/>
  <c r="Q48" i="81"/>
  <c r="O48" i="81"/>
  <c r="T48" i="81" s="1"/>
  <c r="M48" i="81"/>
  <c r="K48" i="81"/>
  <c r="I48" i="81"/>
  <c r="N48" i="81" s="1"/>
  <c r="G48" i="81"/>
  <c r="E48" i="81"/>
  <c r="C48" i="81"/>
  <c r="H48" i="81" s="1"/>
  <c r="S47" i="81"/>
  <c r="Q47" i="81"/>
  <c r="O47" i="81"/>
  <c r="T47" i="81" s="1"/>
  <c r="M47" i="81"/>
  <c r="K47" i="81"/>
  <c r="I47" i="81"/>
  <c r="N47" i="81" s="1"/>
  <c r="G47" i="81"/>
  <c r="E47" i="81"/>
  <c r="C47" i="81"/>
  <c r="H47" i="81" s="1"/>
  <c r="S46" i="81"/>
  <c r="Q46" i="81"/>
  <c r="O46" i="81"/>
  <c r="T46" i="81" s="1"/>
  <c r="M46" i="81"/>
  <c r="K46" i="81"/>
  <c r="I46" i="81"/>
  <c r="N46" i="81" s="1"/>
  <c r="G46" i="81"/>
  <c r="E46" i="81"/>
  <c r="C46" i="81"/>
  <c r="H46" i="81" s="1"/>
  <c r="S45" i="81"/>
  <c r="Q45" i="81"/>
  <c r="O45" i="81"/>
  <c r="M45" i="81"/>
  <c r="M49" i="81" s="1"/>
  <c r="K45" i="81"/>
  <c r="I45" i="81"/>
  <c r="N45" i="81" s="1"/>
  <c r="G45" i="81"/>
  <c r="E45" i="81"/>
  <c r="E49" i="81" s="1"/>
  <c r="C45" i="81"/>
  <c r="C49" i="81" s="1"/>
  <c r="R44" i="81"/>
  <c r="L44" i="81"/>
  <c r="J44" i="81"/>
  <c r="F44" i="81"/>
  <c r="D44" i="81"/>
  <c r="S43" i="81"/>
  <c r="Q43" i="81"/>
  <c r="O43" i="81"/>
  <c r="T43" i="81" s="1"/>
  <c r="M43" i="81"/>
  <c r="K43" i="81"/>
  <c r="I43" i="81"/>
  <c r="N43" i="81" s="1"/>
  <c r="G43" i="81"/>
  <c r="E43" i="81"/>
  <c r="C43" i="81"/>
  <c r="H43" i="81" s="1"/>
  <c r="S42" i="81"/>
  <c r="Q42" i="81"/>
  <c r="O42" i="81"/>
  <c r="T42" i="81" s="1"/>
  <c r="M42" i="81"/>
  <c r="K42" i="81"/>
  <c r="I42" i="81"/>
  <c r="N42" i="81" s="1"/>
  <c r="G42" i="81"/>
  <c r="E42" i="81"/>
  <c r="C42" i="81"/>
  <c r="H42" i="81" s="1"/>
  <c r="S41" i="81"/>
  <c r="Q41" i="81"/>
  <c r="P41" i="81"/>
  <c r="P44" i="81" s="1"/>
  <c r="O41" i="81"/>
  <c r="T41" i="81" s="1"/>
  <c r="M41" i="81"/>
  <c r="K41" i="81"/>
  <c r="I41" i="81"/>
  <c r="N41" i="81" s="1"/>
  <c r="G41" i="81"/>
  <c r="E41" i="81"/>
  <c r="C41" i="81"/>
  <c r="H41" i="81" s="1"/>
  <c r="S40" i="81"/>
  <c r="Q40" i="81"/>
  <c r="O40" i="81"/>
  <c r="T40" i="81" s="1"/>
  <c r="M40" i="81"/>
  <c r="K40" i="81"/>
  <c r="I40" i="81"/>
  <c r="G40" i="81"/>
  <c r="E40" i="81"/>
  <c r="C40" i="81"/>
  <c r="H40" i="81" s="1"/>
  <c r="R38" i="81"/>
  <c r="R39" i="81" s="1"/>
  <c r="P38" i="81"/>
  <c r="L38" i="81"/>
  <c r="J38" i="81"/>
  <c r="F38" i="81"/>
  <c r="F39" i="81" s="1"/>
  <c r="S37" i="81"/>
  <c r="Q37" i="81"/>
  <c r="O37" i="81"/>
  <c r="T37" i="81" s="1"/>
  <c r="M37" i="81"/>
  <c r="K37" i="81"/>
  <c r="I37" i="81"/>
  <c r="N37" i="81" s="1"/>
  <c r="G37" i="81"/>
  <c r="E37" i="81"/>
  <c r="D37" i="81"/>
  <c r="D38" i="81" s="1"/>
  <c r="C37" i="81"/>
  <c r="S36" i="81"/>
  <c r="Q36" i="81"/>
  <c r="O36" i="81"/>
  <c r="T36" i="81" s="1"/>
  <c r="M36" i="81"/>
  <c r="K36" i="81"/>
  <c r="I36" i="81"/>
  <c r="G36" i="81"/>
  <c r="E36" i="81"/>
  <c r="C36" i="81"/>
  <c r="H36" i="81" s="1"/>
  <c r="S35" i="81"/>
  <c r="Q35" i="81"/>
  <c r="Q38" i="81" s="1"/>
  <c r="O35" i="81"/>
  <c r="T35" i="81" s="1"/>
  <c r="M35" i="81"/>
  <c r="K35" i="81"/>
  <c r="I35" i="81"/>
  <c r="N35" i="81" s="1"/>
  <c r="G35" i="81"/>
  <c r="E35" i="81"/>
  <c r="C35" i="81"/>
  <c r="H35" i="81" s="1"/>
  <c r="S34" i="81"/>
  <c r="Q34" i="81"/>
  <c r="O34" i="81"/>
  <c r="M34" i="81"/>
  <c r="K34" i="81"/>
  <c r="K38" i="81" s="1"/>
  <c r="I34" i="81"/>
  <c r="N34" i="81" s="1"/>
  <c r="G34" i="81"/>
  <c r="E34" i="81"/>
  <c r="C34" i="81"/>
  <c r="C38" i="81" s="1"/>
  <c r="R33" i="81"/>
  <c r="P33" i="81"/>
  <c r="L33" i="81"/>
  <c r="J33" i="81"/>
  <c r="F33" i="81"/>
  <c r="S32" i="81"/>
  <c r="Q32" i="81"/>
  <c r="O32" i="81"/>
  <c r="T32" i="81" s="1"/>
  <c r="M32" i="81"/>
  <c r="K32" i="81"/>
  <c r="I32" i="81"/>
  <c r="N32" i="81" s="1"/>
  <c r="G32" i="81"/>
  <c r="E32" i="81"/>
  <c r="C32" i="81"/>
  <c r="H32" i="81" s="1"/>
  <c r="S31" i="81"/>
  <c r="Q31" i="81"/>
  <c r="O31" i="81"/>
  <c r="T31" i="81" s="1"/>
  <c r="M31" i="81"/>
  <c r="K31" i="81"/>
  <c r="I31" i="81"/>
  <c r="N31" i="81" s="1"/>
  <c r="G31" i="81"/>
  <c r="E31" i="81"/>
  <c r="C31" i="81"/>
  <c r="H31" i="81" s="1"/>
  <c r="S30" i="81"/>
  <c r="Q30" i="81"/>
  <c r="O30" i="81"/>
  <c r="T30" i="81" s="1"/>
  <c r="M30" i="81"/>
  <c r="K30" i="81"/>
  <c r="I30" i="81"/>
  <c r="I33" i="81" s="1"/>
  <c r="G30" i="81"/>
  <c r="E30" i="81"/>
  <c r="C30" i="81"/>
  <c r="H30" i="81" s="1"/>
  <c r="S29" i="81"/>
  <c r="Q29" i="81"/>
  <c r="O29" i="81"/>
  <c r="M29" i="81"/>
  <c r="K29" i="81"/>
  <c r="I29" i="81"/>
  <c r="N29" i="81" s="1"/>
  <c r="G29" i="81"/>
  <c r="E29" i="81"/>
  <c r="D29" i="81"/>
  <c r="D33" i="81" s="1"/>
  <c r="C29" i="81"/>
  <c r="R28" i="81"/>
  <c r="P28" i="81"/>
  <c r="L28" i="81"/>
  <c r="J28" i="81"/>
  <c r="F28" i="81"/>
  <c r="D28" i="81"/>
  <c r="T27" i="81"/>
  <c r="S27" i="81"/>
  <c r="Q27" i="81"/>
  <c r="O27" i="81"/>
  <c r="N27" i="81"/>
  <c r="M27" i="81"/>
  <c r="K27" i="81"/>
  <c r="I27" i="81"/>
  <c r="H27" i="81"/>
  <c r="U27" i="81" s="1"/>
  <c r="G27" i="81"/>
  <c r="E27" i="81"/>
  <c r="C27" i="81"/>
  <c r="S26" i="81"/>
  <c r="S28" i="81" s="1"/>
  <c r="Q26" i="81"/>
  <c r="Q28" i="81" s="1"/>
  <c r="O26" i="81"/>
  <c r="T26" i="81" s="1"/>
  <c r="M26" i="81"/>
  <c r="K26" i="81"/>
  <c r="K28" i="81" s="1"/>
  <c r="I26" i="81"/>
  <c r="G26" i="81"/>
  <c r="G28" i="81" s="1"/>
  <c r="E26" i="81"/>
  <c r="E28" i="81" s="1"/>
  <c r="C26" i="81"/>
  <c r="H26" i="81" s="1"/>
  <c r="R24" i="81"/>
  <c r="P24" i="81"/>
  <c r="L24" i="81"/>
  <c r="J24" i="81"/>
  <c r="F24" i="81"/>
  <c r="D24" i="81"/>
  <c r="S23" i="81"/>
  <c r="Q23" i="81"/>
  <c r="O23" i="81"/>
  <c r="T23" i="81" s="1"/>
  <c r="M23" i="81"/>
  <c r="K23" i="81"/>
  <c r="I23" i="81"/>
  <c r="N23" i="81" s="1"/>
  <c r="G23" i="81"/>
  <c r="E23" i="81"/>
  <c r="C23" i="81"/>
  <c r="H23" i="81" s="1"/>
  <c r="S22" i="81"/>
  <c r="Q22" i="81"/>
  <c r="O22" i="81"/>
  <c r="T22" i="81" s="1"/>
  <c r="M22" i="81"/>
  <c r="K22" i="81"/>
  <c r="I22" i="81"/>
  <c r="N22" i="81" s="1"/>
  <c r="G22" i="81"/>
  <c r="E22" i="81"/>
  <c r="C22" i="81"/>
  <c r="H22" i="81" s="1"/>
  <c r="S21" i="81"/>
  <c r="Q21" i="81"/>
  <c r="O21" i="81"/>
  <c r="T21" i="81" s="1"/>
  <c r="M21" i="81"/>
  <c r="K21" i="81"/>
  <c r="I21" i="81"/>
  <c r="G21" i="81"/>
  <c r="E21" i="81"/>
  <c r="C21" i="81"/>
  <c r="H21" i="81" s="1"/>
  <c r="S20" i="81"/>
  <c r="Q20" i="81"/>
  <c r="O20" i="81"/>
  <c r="O24" i="81" s="1"/>
  <c r="M20" i="81"/>
  <c r="K20" i="81"/>
  <c r="I20" i="81"/>
  <c r="N20" i="81" s="1"/>
  <c r="G20" i="81"/>
  <c r="E20" i="81"/>
  <c r="C20" i="81"/>
  <c r="R19" i="81"/>
  <c r="P19" i="81"/>
  <c r="L19" i="81"/>
  <c r="J19" i="81"/>
  <c r="F19" i="81"/>
  <c r="D19" i="81"/>
  <c r="S18" i="81"/>
  <c r="Q18" i="81"/>
  <c r="O18" i="81"/>
  <c r="T18" i="81" s="1"/>
  <c r="M18" i="81"/>
  <c r="K18" i="81"/>
  <c r="I18" i="81"/>
  <c r="N18" i="81" s="1"/>
  <c r="G18" i="81"/>
  <c r="E18" i="81"/>
  <c r="C18" i="81"/>
  <c r="H18" i="81" s="1"/>
  <c r="S17" i="81"/>
  <c r="Q17" i="81"/>
  <c r="O17" i="81"/>
  <c r="T17" i="81" s="1"/>
  <c r="M17" i="81"/>
  <c r="K17" i="81"/>
  <c r="I17" i="81"/>
  <c r="N17" i="81" s="1"/>
  <c r="G17" i="81"/>
  <c r="E17" i="81"/>
  <c r="C17" i="81"/>
  <c r="H17" i="81" s="1"/>
  <c r="S16" i="81"/>
  <c r="Q16" i="81"/>
  <c r="O16" i="81"/>
  <c r="T16" i="81" s="1"/>
  <c r="M16" i="81"/>
  <c r="M19" i="81" s="1"/>
  <c r="K16" i="81"/>
  <c r="I16" i="81"/>
  <c r="N16" i="81" s="1"/>
  <c r="G16" i="81"/>
  <c r="E16" i="81"/>
  <c r="E19" i="81" s="1"/>
  <c r="C16" i="81"/>
  <c r="C19" i="81" s="1"/>
  <c r="R15" i="81"/>
  <c r="P15" i="81"/>
  <c r="L15" i="81"/>
  <c r="J15" i="81"/>
  <c r="F15" i="81"/>
  <c r="D15" i="81"/>
  <c r="S14" i="81"/>
  <c r="Q14" i="81"/>
  <c r="O14" i="81"/>
  <c r="T14" i="81" s="1"/>
  <c r="M14" i="81"/>
  <c r="K14" i="81"/>
  <c r="I14" i="81"/>
  <c r="N14" i="81" s="1"/>
  <c r="G14" i="81"/>
  <c r="E14" i="81"/>
  <c r="C14" i="81"/>
  <c r="H14" i="81" s="1"/>
  <c r="S13" i="81"/>
  <c r="Q13" i="81"/>
  <c r="O13" i="81"/>
  <c r="T13" i="81" s="1"/>
  <c r="M13" i="81"/>
  <c r="K13" i="81"/>
  <c r="I13" i="81"/>
  <c r="G13" i="81"/>
  <c r="E13" i="81"/>
  <c r="C13" i="81"/>
  <c r="H13" i="81" s="1"/>
  <c r="S12" i="81"/>
  <c r="Q12" i="81"/>
  <c r="O12" i="81"/>
  <c r="T12" i="81" s="1"/>
  <c r="M12" i="81"/>
  <c r="K12" i="81"/>
  <c r="I12" i="81"/>
  <c r="N12" i="81" s="1"/>
  <c r="G12" i="81"/>
  <c r="G15" i="81" s="1"/>
  <c r="E12" i="81"/>
  <c r="C12" i="81"/>
  <c r="H12" i="81" s="1"/>
  <c r="R11" i="81"/>
  <c r="P11" i="81"/>
  <c r="L11" i="81"/>
  <c r="J11" i="81"/>
  <c r="F11" i="81"/>
  <c r="D11" i="81"/>
  <c r="S10" i="81"/>
  <c r="Q10" i="81"/>
  <c r="O10" i="81"/>
  <c r="T10" i="81" s="1"/>
  <c r="M10" i="81"/>
  <c r="K10" i="81"/>
  <c r="I10" i="81"/>
  <c r="N10" i="81" s="1"/>
  <c r="G10" i="81"/>
  <c r="E10" i="81"/>
  <c r="C10" i="81"/>
  <c r="H10" i="81" s="1"/>
  <c r="S9" i="81"/>
  <c r="Q9" i="81"/>
  <c r="O9" i="81"/>
  <c r="T9" i="81" s="1"/>
  <c r="M9" i="81"/>
  <c r="K9" i="81"/>
  <c r="I9" i="81"/>
  <c r="N9" i="81" s="1"/>
  <c r="G9" i="81"/>
  <c r="E9" i="81"/>
  <c r="C9" i="81"/>
  <c r="H9" i="81" s="1"/>
  <c r="S8" i="81"/>
  <c r="Q8" i="81"/>
  <c r="O8" i="81"/>
  <c r="T8" i="81" s="1"/>
  <c r="M8" i="81"/>
  <c r="K8" i="81"/>
  <c r="I8" i="81"/>
  <c r="N8" i="81" s="1"/>
  <c r="G8" i="81"/>
  <c r="E8" i="81"/>
  <c r="C8" i="81"/>
  <c r="H8" i="81" s="1"/>
  <c r="S7" i="81"/>
  <c r="Q7" i="81"/>
  <c r="Q11" i="81" s="1"/>
  <c r="O7" i="81"/>
  <c r="M7" i="81"/>
  <c r="K7" i="81"/>
  <c r="I7" i="81"/>
  <c r="G7" i="81"/>
  <c r="E7" i="81"/>
  <c r="C7" i="81"/>
  <c r="M60" i="81"/>
  <c r="H60" i="81"/>
  <c r="M59" i="81"/>
  <c r="M57" i="81"/>
  <c r="M56" i="81"/>
  <c r="M54" i="81"/>
  <c r="N50" i="82" l="1"/>
  <c r="K50" i="82"/>
  <c r="Q25" i="82"/>
  <c r="M50" i="82"/>
  <c r="O50" i="82"/>
  <c r="U34" i="82"/>
  <c r="U38" i="82" s="1"/>
  <c r="F51" i="82"/>
  <c r="P51" i="82"/>
  <c r="S25" i="82"/>
  <c r="S51" i="82" s="1"/>
  <c r="O25" i="82"/>
  <c r="E25" i="82"/>
  <c r="M25" i="82"/>
  <c r="T50" i="82"/>
  <c r="U24" i="82"/>
  <c r="I25" i="82"/>
  <c r="E39" i="82"/>
  <c r="K51" i="82"/>
  <c r="I50" i="82"/>
  <c r="N39" i="82"/>
  <c r="J51" i="82"/>
  <c r="R51" i="82"/>
  <c r="Q50" i="82"/>
  <c r="Q39" i="82"/>
  <c r="U26" i="82"/>
  <c r="U28" i="82" s="1"/>
  <c r="U16" i="82"/>
  <c r="U19" i="82" s="1"/>
  <c r="U40" i="82"/>
  <c r="U44" i="82" s="1"/>
  <c r="N25" i="82"/>
  <c r="N51" i="82" s="1"/>
  <c r="T39" i="82"/>
  <c r="U15" i="82"/>
  <c r="C51" i="82"/>
  <c r="T25" i="82"/>
  <c r="O51" i="82"/>
  <c r="U29" i="82"/>
  <c r="U33" i="82" s="1"/>
  <c r="H33" i="82"/>
  <c r="H39" i="82" s="1"/>
  <c r="G51" i="82"/>
  <c r="M51" i="82"/>
  <c r="U45" i="82"/>
  <c r="U49" i="82" s="1"/>
  <c r="U50" i="82" s="1"/>
  <c r="H49" i="82"/>
  <c r="H50" i="82" s="1"/>
  <c r="I51" i="82"/>
  <c r="H11" i="82"/>
  <c r="H25" i="82" s="1"/>
  <c r="U7" i="82"/>
  <c r="U11" i="82" s="1"/>
  <c r="U17" i="81"/>
  <c r="U32" i="81"/>
  <c r="N19" i="81"/>
  <c r="S15" i="81"/>
  <c r="F25" i="81"/>
  <c r="R25" i="81"/>
  <c r="H16" i="81"/>
  <c r="C24" i="81"/>
  <c r="G33" i="81"/>
  <c r="O33" i="81"/>
  <c r="O38" i="81"/>
  <c r="J39" i="81"/>
  <c r="K44" i="81"/>
  <c r="S44" i="81"/>
  <c r="S50" i="81" s="1"/>
  <c r="P50" i="81"/>
  <c r="U9" i="81"/>
  <c r="C15" i="81"/>
  <c r="O19" i="81"/>
  <c r="O25" i="81" s="1"/>
  <c r="E24" i="81"/>
  <c r="I28" i="81"/>
  <c r="M28" i="81"/>
  <c r="M39" i="81" s="1"/>
  <c r="M51" i="81" s="1"/>
  <c r="U41" i="81"/>
  <c r="D50" i="81"/>
  <c r="L50" i="81"/>
  <c r="M15" i="81"/>
  <c r="M25" i="81" s="1"/>
  <c r="U23" i="81"/>
  <c r="U46" i="81"/>
  <c r="U8" i="81"/>
  <c r="U47" i="81"/>
  <c r="U10" i="81"/>
  <c r="U14" i="81"/>
  <c r="D39" i="81"/>
  <c r="E38" i="81"/>
  <c r="L39" i="81"/>
  <c r="G44" i="81"/>
  <c r="E44" i="81"/>
  <c r="O49" i="81"/>
  <c r="K49" i="81"/>
  <c r="K50" i="81" s="1"/>
  <c r="K11" i="81"/>
  <c r="T15" i="81"/>
  <c r="I15" i="81"/>
  <c r="J25" i="81"/>
  <c r="I19" i="81"/>
  <c r="K19" i="81"/>
  <c r="K24" i="81"/>
  <c r="K25" i="81" s="1"/>
  <c r="Q24" i="81"/>
  <c r="Q25" i="81" s="1"/>
  <c r="L25" i="81"/>
  <c r="C33" i="81"/>
  <c r="Q33" i="81"/>
  <c r="Q39" i="81" s="1"/>
  <c r="G38" i="81"/>
  <c r="G39" i="81" s="1"/>
  <c r="M38" i="81"/>
  <c r="S38" i="81"/>
  <c r="H37" i="81"/>
  <c r="U37" i="81" s="1"/>
  <c r="P39" i="81"/>
  <c r="P51" i="81" s="1"/>
  <c r="I44" i="81"/>
  <c r="M44" i="81"/>
  <c r="Q44" i="81"/>
  <c r="Q49" i="81"/>
  <c r="G49" i="81"/>
  <c r="S49" i="81"/>
  <c r="F50" i="81"/>
  <c r="F51" i="81" s="1"/>
  <c r="R50" i="81"/>
  <c r="R51" i="81" s="1"/>
  <c r="G11" i="81"/>
  <c r="S11" i="81"/>
  <c r="O15" i="81"/>
  <c r="Q19" i="81"/>
  <c r="G24" i="81"/>
  <c r="M24" i="81"/>
  <c r="S24" i="81"/>
  <c r="S25" i="81" s="1"/>
  <c r="D25" i="81"/>
  <c r="D51" i="81" s="1"/>
  <c r="P25" i="81"/>
  <c r="T28" i="81"/>
  <c r="K33" i="81"/>
  <c r="K39" i="81" s="1"/>
  <c r="S33" i="81"/>
  <c r="S39" i="81" s="1"/>
  <c r="H34" i="81"/>
  <c r="T34" i="81"/>
  <c r="T38" i="81" s="1"/>
  <c r="J50" i="81"/>
  <c r="E11" i="81"/>
  <c r="E25" i="81" s="1"/>
  <c r="E51" i="81" s="1"/>
  <c r="E15" i="81"/>
  <c r="K15" i="81"/>
  <c r="Q15" i="81"/>
  <c r="G19" i="81"/>
  <c r="S19" i="81"/>
  <c r="H20" i="81"/>
  <c r="T20" i="81"/>
  <c r="T24" i="81" s="1"/>
  <c r="I24" i="81"/>
  <c r="E33" i="81"/>
  <c r="M33" i="81"/>
  <c r="I38" i="81"/>
  <c r="E50" i="81"/>
  <c r="M50" i="81"/>
  <c r="H44" i="81"/>
  <c r="I39" i="81"/>
  <c r="U42" i="81"/>
  <c r="U48" i="81"/>
  <c r="T7" i="81"/>
  <c r="T11" i="81" s="1"/>
  <c r="O11" i="81"/>
  <c r="H19" i="81"/>
  <c r="T19" i="81"/>
  <c r="H24" i="81"/>
  <c r="H28" i="81"/>
  <c r="U31" i="81"/>
  <c r="E39" i="81"/>
  <c r="T44" i="81"/>
  <c r="U43" i="81"/>
  <c r="H7" i="81"/>
  <c r="C11" i="81"/>
  <c r="M11" i="81"/>
  <c r="U35" i="81"/>
  <c r="N7" i="81"/>
  <c r="N11" i="81" s="1"/>
  <c r="I11" i="81"/>
  <c r="H15" i="81"/>
  <c r="U18" i="81"/>
  <c r="U22" i="81"/>
  <c r="N33" i="81"/>
  <c r="N49" i="81"/>
  <c r="G50" i="81"/>
  <c r="G25" i="81"/>
  <c r="H29" i="81"/>
  <c r="T29" i="81"/>
  <c r="T33" i="81" s="1"/>
  <c r="T39" i="81" s="1"/>
  <c r="C44" i="81"/>
  <c r="C50" i="81" s="1"/>
  <c r="O44" i="81"/>
  <c r="U12" i="81"/>
  <c r="N13" i="81"/>
  <c r="N15" i="81" s="1"/>
  <c r="N21" i="81"/>
  <c r="U21" i="81" s="1"/>
  <c r="C28" i="81"/>
  <c r="C39" i="81" s="1"/>
  <c r="O28" i="81"/>
  <c r="N30" i="81"/>
  <c r="U30" i="81" s="1"/>
  <c r="N36" i="81"/>
  <c r="U36" i="81" s="1"/>
  <c r="I49" i="81"/>
  <c r="N26" i="81"/>
  <c r="N28" i="81" s="1"/>
  <c r="N40" i="81"/>
  <c r="N44" i="81" s="1"/>
  <c r="H45" i="81"/>
  <c r="T45" i="81"/>
  <c r="T49" i="81" s="1"/>
  <c r="U16" i="81"/>
  <c r="H64" i="80"/>
  <c r="M60" i="80"/>
  <c r="H60" i="80"/>
  <c r="M59" i="80"/>
  <c r="M57" i="80"/>
  <c r="M56" i="80"/>
  <c r="M54" i="80"/>
  <c r="J54" i="80"/>
  <c r="J53" i="80"/>
  <c r="J52" i="80"/>
  <c r="U39" i="82" l="1"/>
  <c r="E51" i="82"/>
  <c r="J52" i="82"/>
  <c r="Q51" i="82"/>
  <c r="J53" i="82" s="1"/>
  <c r="T51" i="82"/>
  <c r="U25" i="82"/>
  <c r="U51" i="82" s="1"/>
  <c r="H51" i="82"/>
  <c r="N50" i="81"/>
  <c r="Q50" i="81"/>
  <c r="Q51" i="81" s="1"/>
  <c r="U19" i="81"/>
  <c r="O39" i="81"/>
  <c r="J51" i="81"/>
  <c r="T50" i="81"/>
  <c r="T51" i="81" s="1"/>
  <c r="C25" i="81"/>
  <c r="L51" i="81"/>
  <c r="I25" i="81"/>
  <c r="U34" i="81"/>
  <c r="U38" i="81" s="1"/>
  <c r="N24" i="81"/>
  <c r="N25" i="81" s="1"/>
  <c r="T25" i="81"/>
  <c r="H38" i="81"/>
  <c r="I50" i="81"/>
  <c r="I51" i="81" s="1"/>
  <c r="O50" i="81"/>
  <c r="O51" i="81" s="1"/>
  <c r="N38" i="81"/>
  <c r="S51" i="81"/>
  <c r="U40" i="81"/>
  <c r="U44" i="81" s="1"/>
  <c r="U20" i="81"/>
  <c r="U24" i="81" s="1"/>
  <c r="H33" i="81"/>
  <c r="U29" i="81"/>
  <c r="U33" i="81" s="1"/>
  <c r="K51" i="81"/>
  <c r="U45" i="81"/>
  <c r="U49" i="81" s="1"/>
  <c r="H49" i="81"/>
  <c r="H50" i="81" s="1"/>
  <c r="G51" i="81"/>
  <c r="U13" i="81"/>
  <c r="U15" i="81" s="1"/>
  <c r="C51" i="81"/>
  <c r="H11" i="81"/>
  <c r="H25" i="81" s="1"/>
  <c r="U7" i="81"/>
  <c r="U11" i="81" s="1"/>
  <c r="N39" i="81"/>
  <c r="J52" i="81"/>
  <c r="U26" i="81"/>
  <c r="U28" i="81" s="1"/>
  <c r="H65" i="76"/>
  <c r="M61" i="76"/>
  <c r="H61" i="76"/>
  <c r="M60" i="76"/>
  <c r="M58" i="76"/>
  <c r="M57" i="76"/>
  <c r="M55" i="76"/>
  <c r="J55" i="76"/>
  <c r="J54" i="76"/>
  <c r="J53" i="76"/>
  <c r="J54" i="82" l="1"/>
  <c r="U50" i="81"/>
  <c r="J53" i="81"/>
  <c r="U25" i="81"/>
  <c r="N51" i="81"/>
  <c r="H39" i="81"/>
  <c r="H51" i="81" s="1"/>
  <c r="J54" i="81" s="1"/>
  <c r="U39" i="81"/>
  <c r="H65" i="75"/>
  <c r="M61" i="75"/>
  <c r="H61" i="75"/>
  <c r="M60" i="75"/>
  <c r="M58" i="75"/>
  <c r="M57" i="75"/>
  <c r="M55" i="75"/>
  <c r="J55" i="75"/>
  <c r="J54" i="75"/>
  <c r="J53" i="75"/>
  <c r="U51" i="81" l="1"/>
  <c r="H66" i="73"/>
  <c r="M62" i="73"/>
  <c r="H62" i="73"/>
  <c r="M61" i="73"/>
  <c r="M59" i="73"/>
  <c r="M58" i="73"/>
  <c r="M56" i="73"/>
  <c r="H66" i="71"/>
  <c r="M62" i="71"/>
  <c r="H62" i="71"/>
  <c r="M61" i="71"/>
  <c r="M59" i="71"/>
  <c r="M58" i="71"/>
  <c r="M56" i="71"/>
  <c r="R49" i="70" l="1"/>
  <c r="P49" i="70"/>
  <c r="P50" i="70" s="1"/>
  <c r="L49" i="70"/>
  <c r="J49" i="70"/>
  <c r="J50" i="70" s="1"/>
  <c r="F49" i="70"/>
  <c r="D49" i="70"/>
  <c r="D50" i="70" s="1"/>
  <c r="S48" i="70"/>
  <c r="Q48" i="70"/>
  <c r="O48" i="70"/>
  <c r="T48" i="70" s="1"/>
  <c r="M48" i="70"/>
  <c r="K48" i="70"/>
  <c r="I48" i="70"/>
  <c r="N48" i="70" s="1"/>
  <c r="G48" i="70"/>
  <c r="E48" i="70"/>
  <c r="C48" i="70"/>
  <c r="H48" i="70" s="1"/>
  <c r="S47" i="70"/>
  <c r="Q47" i="70"/>
  <c r="O47" i="70"/>
  <c r="T47" i="70" s="1"/>
  <c r="M47" i="70"/>
  <c r="K47" i="70"/>
  <c r="I47" i="70"/>
  <c r="N47" i="70" s="1"/>
  <c r="G47" i="70"/>
  <c r="E47" i="70"/>
  <c r="C47" i="70"/>
  <c r="S46" i="70"/>
  <c r="Q46" i="70"/>
  <c r="O46" i="70"/>
  <c r="T46" i="70" s="1"/>
  <c r="M46" i="70"/>
  <c r="K46" i="70"/>
  <c r="I46" i="70"/>
  <c r="N46" i="70" s="1"/>
  <c r="G46" i="70"/>
  <c r="E46" i="70"/>
  <c r="C46" i="70"/>
  <c r="H46" i="70" s="1"/>
  <c r="S45" i="70"/>
  <c r="Q45" i="70"/>
  <c r="O45" i="70"/>
  <c r="M45" i="70"/>
  <c r="K45" i="70"/>
  <c r="I45" i="70"/>
  <c r="N45" i="70" s="1"/>
  <c r="G45" i="70"/>
  <c r="E45" i="70"/>
  <c r="C45" i="70"/>
  <c r="H45" i="70" s="1"/>
  <c r="R44" i="70"/>
  <c r="R50" i="70" s="1"/>
  <c r="P44" i="70"/>
  <c r="N44" i="70"/>
  <c r="L44" i="70"/>
  <c r="J44" i="70"/>
  <c r="I44" i="70"/>
  <c r="F44" i="70"/>
  <c r="F50" i="70" s="1"/>
  <c r="D44" i="70"/>
  <c r="S43" i="70"/>
  <c r="Q43" i="70"/>
  <c r="O43" i="70"/>
  <c r="T43" i="70" s="1"/>
  <c r="N43" i="70"/>
  <c r="M43" i="70"/>
  <c r="K43" i="70"/>
  <c r="G43" i="70"/>
  <c r="E43" i="70"/>
  <c r="C43" i="70"/>
  <c r="H43" i="70" s="1"/>
  <c r="S42" i="70"/>
  <c r="Q42" i="70"/>
  <c r="O42" i="70"/>
  <c r="T42" i="70" s="1"/>
  <c r="N42" i="70"/>
  <c r="M42" i="70"/>
  <c r="K42" i="70"/>
  <c r="G42" i="70"/>
  <c r="E42" i="70"/>
  <c r="C42" i="70"/>
  <c r="H42" i="70" s="1"/>
  <c r="S41" i="70"/>
  <c r="Q41" i="70"/>
  <c r="O41" i="70"/>
  <c r="T41" i="70" s="1"/>
  <c r="N41" i="70"/>
  <c r="M41" i="70"/>
  <c r="K41" i="70"/>
  <c r="G41" i="70"/>
  <c r="E41" i="70"/>
  <c r="C41" i="70"/>
  <c r="H41" i="70" s="1"/>
  <c r="S40" i="70"/>
  <c r="Q40" i="70"/>
  <c r="O40" i="70"/>
  <c r="N40" i="70"/>
  <c r="M40" i="70"/>
  <c r="K40" i="70"/>
  <c r="G40" i="70"/>
  <c r="E40" i="70"/>
  <c r="C40" i="70"/>
  <c r="R38" i="70"/>
  <c r="P38" i="70"/>
  <c r="L38" i="70"/>
  <c r="J38" i="70"/>
  <c r="F38" i="70"/>
  <c r="D38" i="70"/>
  <c r="S37" i="70"/>
  <c r="Q37" i="70"/>
  <c r="O37" i="70"/>
  <c r="T37" i="70" s="1"/>
  <c r="M37" i="70"/>
  <c r="K37" i="70"/>
  <c r="I37" i="70"/>
  <c r="N37" i="70" s="1"/>
  <c r="G37" i="70"/>
  <c r="E37" i="70"/>
  <c r="C37" i="70"/>
  <c r="H37" i="70" s="1"/>
  <c r="S36" i="70"/>
  <c r="Q36" i="70"/>
  <c r="O36" i="70"/>
  <c r="T36" i="70" s="1"/>
  <c r="M36" i="70"/>
  <c r="K36" i="70"/>
  <c r="I36" i="70"/>
  <c r="N36" i="70" s="1"/>
  <c r="G36" i="70"/>
  <c r="E36" i="70"/>
  <c r="C36" i="70"/>
  <c r="H36" i="70" s="1"/>
  <c r="S35" i="70"/>
  <c r="Q35" i="70"/>
  <c r="O35" i="70"/>
  <c r="T35" i="70" s="1"/>
  <c r="M35" i="70"/>
  <c r="K35" i="70"/>
  <c r="I35" i="70"/>
  <c r="N35" i="70" s="1"/>
  <c r="G35" i="70"/>
  <c r="E35" i="70"/>
  <c r="C35" i="70"/>
  <c r="H35" i="70" s="1"/>
  <c r="S34" i="70"/>
  <c r="Q34" i="70"/>
  <c r="O34" i="70"/>
  <c r="T34" i="70" s="1"/>
  <c r="M34" i="70"/>
  <c r="K34" i="70"/>
  <c r="I34" i="70"/>
  <c r="G34" i="70"/>
  <c r="E34" i="70"/>
  <c r="C34" i="70"/>
  <c r="R33" i="70"/>
  <c r="P33" i="70"/>
  <c r="L33" i="70"/>
  <c r="J33" i="70"/>
  <c r="F33" i="70"/>
  <c r="D33" i="70"/>
  <c r="S32" i="70"/>
  <c r="Q32" i="70"/>
  <c r="O32" i="70"/>
  <c r="T32" i="70" s="1"/>
  <c r="M32" i="70"/>
  <c r="K32" i="70"/>
  <c r="I32" i="70"/>
  <c r="N32" i="70" s="1"/>
  <c r="G32" i="70"/>
  <c r="E32" i="70"/>
  <c r="C32" i="70"/>
  <c r="H32" i="70" s="1"/>
  <c r="S31" i="70"/>
  <c r="Q31" i="70"/>
  <c r="O31" i="70"/>
  <c r="T31" i="70" s="1"/>
  <c r="M31" i="70"/>
  <c r="K31" i="70"/>
  <c r="I31" i="70"/>
  <c r="N31" i="70" s="1"/>
  <c r="G31" i="70"/>
  <c r="E31" i="70"/>
  <c r="C31" i="70"/>
  <c r="H31" i="70" s="1"/>
  <c r="S30" i="70"/>
  <c r="Q30" i="70"/>
  <c r="O30" i="70"/>
  <c r="T30" i="70" s="1"/>
  <c r="M30" i="70"/>
  <c r="K30" i="70"/>
  <c r="I30" i="70"/>
  <c r="N30" i="70" s="1"/>
  <c r="G30" i="70"/>
  <c r="E30" i="70"/>
  <c r="C30" i="70"/>
  <c r="H30" i="70" s="1"/>
  <c r="S29" i="70"/>
  <c r="Q29" i="70"/>
  <c r="O29" i="70"/>
  <c r="M29" i="70"/>
  <c r="K29" i="70"/>
  <c r="I29" i="70"/>
  <c r="N29" i="70" s="1"/>
  <c r="G29" i="70"/>
  <c r="E29" i="70"/>
  <c r="C29" i="70"/>
  <c r="H29" i="70" s="1"/>
  <c r="R28" i="70"/>
  <c r="P28" i="70"/>
  <c r="L28" i="70"/>
  <c r="J28" i="70"/>
  <c r="F28" i="70"/>
  <c r="D28" i="70"/>
  <c r="S27" i="70"/>
  <c r="Q27" i="70"/>
  <c r="O27" i="70"/>
  <c r="T27" i="70" s="1"/>
  <c r="M27" i="70"/>
  <c r="K27" i="70"/>
  <c r="I27" i="70"/>
  <c r="G27" i="70"/>
  <c r="E27" i="70"/>
  <c r="C27" i="70"/>
  <c r="H27" i="70" s="1"/>
  <c r="S26" i="70"/>
  <c r="Q26" i="70"/>
  <c r="O26" i="70"/>
  <c r="M26" i="70"/>
  <c r="K26" i="70"/>
  <c r="I26" i="70"/>
  <c r="N26" i="70" s="1"/>
  <c r="G26" i="70"/>
  <c r="E26" i="70"/>
  <c r="C26" i="70"/>
  <c r="H26" i="70" s="1"/>
  <c r="R24" i="70"/>
  <c r="P24" i="70"/>
  <c r="L24" i="70"/>
  <c r="J24" i="70"/>
  <c r="F24" i="70"/>
  <c r="D24" i="70"/>
  <c r="S23" i="70"/>
  <c r="Q23" i="70"/>
  <c r="O23" i="70"/>
  <c r="T23" i="70" s="1"/>
  <c r="M23" i="70"/>
  <c r="K23" i="70"/>
  <c r="I23" i="70"/>
  <c r="N23" i="70" s="1"/>
  <c r="G23" i="70"/>
  <c r="E23" i="70"/>
  <c r="C23" i="70"/>
  <c r="H23" i="70" s="1"/>
  <c r="S22" i="70"/>
  <c r="Q22" i="70"/>
  <c r="O22" i="70"/>
  <c r="T22" i="70" s="1"/>
  <c r="M22" i="70"/>
  <c r="K22" i="70"/>
  <c r="I22" i="70"/>
  <c r="N22" i="70" s="1"/>
  <c r="G22" i="70"/>
  <c r="E22" i="70"/>
  <c r="C22" i="70"/>
  <c r="H22" i="70" s="1"/>
  <c r="S21" i="70"/>
  <c r="Q21" i="70"/>
  <c r="O21" i="70"/>
  <c r="T21" i="70" s="1"/>
  <c r="M21" i="70"/>
  <c r="K21" i="70"/>
  <c r="I21" i="70"/>
  <c r="N21" i="70" s="1"/>
  <c r="G21" i="70"/>
  <c r="E21" i="70"/>
  <c r="C21" i="70"/>
  <c r="H21" i="70" s="1"/>
  <c r="S20" i="70"/>
  <c r="Q20" i="70"/>
  <c r="O20" i="70"/>
  <c r="T20" i="70" s="1"/>
  <c r="M20" i="70"/>
  <c r="K20" i="70"/>
  <c r="I20" i="70"/>
  <c r="G20" i="70"/>
  <c r="E20" i="70"/>
  <c r="C20" i="70"/>
  <c r="H20" i="70" s="1"/>
  <c r="R19" i="70"/>
  <c r="P19" i="70"/>
  <c r="L19" i="70"/>
  <c r="F19" i="70"/>
  <c r="D19" i="70"/>
  <c r="S18" i="70"/>
  <c r="Q18" i="70"/>
  <c r="O18" i="70"/>
  <c r="T18" i="70" s="1"/>
  <c r="M18" i="70"/>
  <c r="K18" i="70"/>
  <c r="I18" i="70"/>
  <c r="N18" i="70" s="1"/>
  <c r="G18" i="70"/>
  <c r="E18" i="70"/>
  <c r="C18" i="70"/>
  <c r="H18" i="70" s="1"/>
  <c r="S17" i="70"/>
  <c r="Q17" i="70"/>
  <c r="O17" i="70"/>
  <c r="T17" i="70" s="1"/>
  <c r="M17" i="70"/>
  <c r="K17" i="70"/>
  <c r="J17" i="70"/>
  <c r="I17" i="70"/>
  <c r="N17" i="70" s="1"/>
  <c r="G17" i="70"/>
  <c r="E17" i="70"/>
  <c r="C17" i="70"/>
  <c r="H17" i="70" s="1"/>
  <c r="S16" i="70"/>
  <c r="Q16" i="70"/>
  <c r="O16" i="70"/>
  <c r="T16" i="70" s="1"/>
  <c r="M16" i="70"/>
  <c r="K16" i="70"/>
  <c r="J16" i="70"/>
  <c r="J19" i="70" s="1"/>
  <c r="I16" i="70"/>
  <c r="G16" i="70"/>
  <c r="E16" i="70"/>
  <c r="C16" i="70"/>
  <c r="H16" i="70" s="1"/>
  <c r="R15" i="70"/>
  <c r="P15" i="70"/>
  <c r="L15" i="70"/>
  <c r="J15" i="70"/>
  <c r="F15" i="70"/>
  <c r="D15" i="70"/>
  <c r="S14" i="70"/>
  <c r="Q14" i="70"/>
  <c r="O14" i="70"/>
  <c r="T14" i="70" s="1"/>
  <c r="M14" i="70"/>
  <c r="K14" i="70"/>
  <c r="I14" i="70"/>
  <c r="N14" i="70" s="1"/>
  <c r="G14" i="70"/>
  <c r="E14" i="70"/>
  <c r="C14" i="70"/>
  <c r="H14" i="70" s="1"/>
  <c r="S13" i="70"/>
  <c r="Q13" i="70"/>
  <c r="O13" i="70"/>
  <c r="T13" i="70" s="1"/>
  <c r="M13" i="70"/>
  <c r="K13" i="70"/>
  <c r="I13" i="70"/>
  <c r="N13" i="70" s="1"/>
  <c r="G13" i="70"/>
  <c r="E13" i="70"/>
  <c r="C13" i="70"/>
  <c r="H13" i="70" s="1"/>
  <c r="S12" i="70"/>
  <c r="Q12" i="70"/>
  <c r="O12" i="70"/>
  <c r="T12" i="70" s="1"/>
  <c r="M12" i="70"/>
  <c r="K12" i="70"/>
  <c r="I12" i="70"/>
  <c r="N12" i="70" s="1"/>
  <c r="G12" i="70"/>
  <c r="E12" i="70"/>
  <c r="C12" i="70"/>
  <c r="R11" i="70"/>
  <c r="P11" i="70"/>
  <c r="L11" i="70"/>
  <c r="J11" i="70"/>
  <c r="F11" i="70"/>
  <c r="D11" i="70"/>
  <c r="S10" i="70"/>
  <c r="Q10" i="70"/>
  <c r="O10" i="70"/>
  <c r="T10" i="70" s="1"/>
  <c r="M10" i="70"/>
  <c r="K10" i="70"/>
  <c r="I10" i="70"/>
  <c r="N10" i="70" s="1"/>
  <c r="G10" i="70"/>
  <c r="E10" i="70"/>
  <c r="C10" i="70"/>
  <c r="H10" i="70" s="1"/>
  <c r="S9" i="70"/>
  <c r="Q9" i="70"/>
  <c r="O9" i="70"/>
  <c r="T9" i="70" s="1"/>
  <c r="M9" i="70"/>
  <c r="K9" i="70"/>
  <c r="I9" i="70"/>
  <c r="N9" i="70" s="1"/>
  <c r="G9" i="70"/>
  <c r="E9" i="70"/>
  <c r="C9" i="70"/>
  <c r="H9" i="70" s="1"/>
  <c r="S8" i="70"/>
  <c r="Q8" i="70"/>
  <c r="O8" i="70"/>
  <c r="T8" i="70" s="1"/>
  <c r="M8" i="70"/>
  <c r="K8" i="70"/>
  <c r="I8" i="70"/>
  <c r="N8" i="70" s="1"/>
  <c r="G8" i="70"/>
  <c r="E8" i="70"/>
  <c r="C8" i="70"/>
  <c r="H8" i="70" s="1"/>
  <c r="S7" i="70"/>
  <c r="Q7" i="70"/>
  <c r="O7" i="70"/>
  <c r="M7" i="70"/>
  <c r="K7" i="70"/>
  <c r="I7" i="70"/>
  <c r="G7" i="70"/>
  <c r="E7" i="70"/>
  <c r="C7" i="70"/>
  <c r="H7" i="70" s="1"/>
  <c r="S33" i="70" l="1"/>
  <c r="G33" i="70"/>
  <c r="C38" i="70"/>
  <c r="O44" i="70"/>
  <c r="Q28" i="70"/>
  <c r="Q33" i="70"/>
  <c r="S11" i="70"/>
  <c r="T15" i="70"/>
  <c r="I24" i="70"/>
  <c r="M28" i="70"/>
  <c r="L50" i="70"/>
  <c r="K49" i="70"/>
  <c r="C15" i="70"/>
  <c r="I19" i="70"/>
  <c r="T19" i="70"/>
  <c r="E24" i="70"/>
  <c r="Q44" i="70"/>
  <c r="M15" i="70"/>
  <c r="M19" i="70"/>
  <c r="K24" i="70"/>
  <c r="O28" i="70"/>
  <c r="S44" i="70"/>
  <c r="J55" i="73"/>
  <c r="J54" i="73"/>
  <c r="J54" i="71"/>
  <c r="J55" i="71"/>
  <c r="U31" i="70"/>
  <c r="H34" i="70"/>
  <c r="H38" i="70" s="1"/>
  <c r="U43" i="70"/>
  <c r="U46" i="70"/>
  <c r="Q38" i="70"/>
  <c r="M44" i="70"/>
  <c r="T26" i="70"/>
  <c r="U26" i="70" s="1"/>
  <c r="C44" i="70"/>
  <c r="C19" i="70"/>
  <c r="G24" i="70"/>
  <c r="M11" i="70"/>
  <c r="G44" i="70"/>
  <c r="G11" i="70"/>
  <c r="E28" i="70"/>
  <c r="G28" i="70"/>
  <c r="D39" i="70"/>
  <c r="M33" i="70"/>
  <c r="F39" i="70"/>
  <c r="U37" i="70"/>
  <c r="U22" i="70"/>
  <c r="Q24" i="70"/>
  <c r="N20" i="70"/>
  <c r="U20" i="70" s="1"/>
  <c r="D25" i="70"/>
  <c r="E38" i="70"/>
  <c r="L39" i="70"/>
  <c r="E49" i="70"/>
  <c r="I11" i="70"/>
  <c r="G15" i="70"/>
  <c r="O15" i="70"/>
  <c r="M24" i="70"/>
  <c r="H12" i="70"/>
  <c r="U12" i="70" s="1"/>
  <c r="E19" i="70"/>
  <c r="O24" i="70"/>
  <c r="S24" i="70"/>
  <c r="P39" i="70"/>
  <c r="T40" i="70"/>
  <c r="T44" i="70" s="1"/>
  <c r="G49" i="70"/>
  <c r="G50" i="70" s="1"/>
  <c r="M49" i="70"/>
  <c r="S19" i="70"/>
  <c r="K28" i="70"/>
  <c r="S38" i="70"/>
  <c r="J39" i="70"/>
  <c r="K11" i="70"/>
  <c r="O11" i="70"/>
  <c r="U10" i="70"/>
  <c r="K15" i="70"/>
  <c r="F25" i="70"/>
  <c r="S28" i="70"/>
  <c r="E33" i="70"/>
  <c r="R39" i="70"/>
  <c r="N49" i="70"/>
  <c r="N50" i="70" s="1"/>
  <c r="E44" i="70"/>
  <c r="U42" i="70"/>
  <c r="G19" i="70"/>
  <c r="G38" i="70"/>
  <c r="G39" i="70" s="1"/>
  <c r="Q15" i="70"/>
  <c r="P25" i="70"/>
  <c r="N33" i="70"/>
  <c r="U41" i="70"/>
  <c r="Q11" i="70"/>
  <c r="U9" i="70"/>
  <c r="S15" i="70"/>
  <c r="R25" i="70"/>
  <c r="K33" i="70"/>
  <c r="I38" i="70"/>
  <c r="H40" i="70"/>
  <c r="O49" i="70"/>
  <c r="O50" i="70" s="1"/>
  <c r="U48" i="70"/>
  <c r="E15" i="70"/>
  <c r="K19" i="70"/>
  <c r="K38" i="70"/>
  <c r="K44" i="70"/>
  <c r="Q49" i="70"/>
  <c r="L25" i="70"/>
  <c r="E11" i="70"/>
  <c r="I15" i="70"/>
  <c r="I25" i="70" s="1"/>
  <c r="O33" i="70"/>
  <c r="U32" i="70"/>
  <c r="M38" i="70"/>
  <c r="S49" i="70"/>
  <c r="S50" i="70" s="1"/>
  <c r="C49" i="70"/>
  <c r="C50" i="70" s="1"/>
  <c r="I28" i="70"/>
  <c r="Q19" i="70"/>
  <c r="H24" i="70"/>
  <c r="H28" i="70"/>
  <c r="U8" i="70"/>
  <c r="T38" i="70"/>
  <c r="U14" i="70"/>
  <c r="Q39" i="70"/>
  <c r="U13" i="70"/>
  <c r="S39" i="70"/>
  <c r="N15" i="70"/>
  <c r="H19" i="70"/>
  <c r="U30" i="70"/>
  <c r="U36" i="70"/>
  <c r="U18" i="70"/>
  <c r="J25" i="70"/>
  <c r="U17" i="70"/>
  <c r="T24" i="70"/>
  <c r="U35" i="70"/>
  <c r="K50" i="70"/>
  <c r="U21" i="70"/>
  <c r="U23" i="70"/>
  <c r="I33" i="70"/>
  <c r="I49" i="70"/>
  <c r="I50" i="70" s="1"/>
  <c r="T7" i="70"/>
  <c r="T11" i="70" s="1"/>
  <c r="N27" i="70"/>
  <c r="N28" i="70" s="1"/>
  <c r="T29" i="70"/>
  <c r="T33" i="70" s="1"/>
  <c r="T45" i="70"/>
  <c r="T49" i="70" s="1"/>
  <c r="T50" i="70" s="1"/>
  <c r="C24" i="70"/>
  <c r="O19" i="70"/>
  <c r="O38" i="70"/>
  <c r="C33" i="70"/>
  <c r="C28" i="70"/>
  <c r="H47" i="70"/>
  <c r="U47" i="70" s="1"/>
  <c r="N34" i="70"/>
  <c r="N38" i="70" s="1"/>
  <c r="C11" i="70"/>
  <c r="N16" i="70"/>
  <c r="N19" i="70" s="1"/>
  <c r="N7" i="70"/>
  <c r="N11" i="70" s="1"/>
  <c r="H33" i="70"/>
  <c r="H11" i="70"/>
  <c r="H66" i="70"/>
  <c r="M62" i="70"/>
  <c r="H62" i="70"/>
  <c r="M61" i="70"/>
  <c r="M59" i="70"/>
  <c r="M58" i="70"/>
  <c r="M56" i="70"/>
  <c r="P51" i="70" l="1"/>
  <c r="D51" i="70"/>
  <c r="O25" i="70"/>
  <c r="Q50" i="70"/>
  <c r="T28" i="70"/>
  <c r="G25" i="70"/>
  <c r="J51" i="70"/>
  <c r="M25" i="70"/>
  <c r="M39" i="70"/>
  <c r="I39" i="70"/>
  <c r="F51" i="70"/>
  <c r="J56" i="73"/>
  <c r="J56" i="71"/>
  <c r="S25" i="70"/>
  <c r="S51" i="70" s="1"/>
  <c r="K39" i="70"/>
  <c r="E25" i="70"/>
  <c r="Q25" i="70"/>
  <c r="U40" i="70"/>
  <c r="U44" i="70" s="1"/>
  <c r="G51" i="70"/>
  <c r="K25" i="70"/>
  <c r="U16" i="70"/>
  <c r="U19" i="70" s="1"/>
  <c r="L51" i="70"/>
  <c r="N24" i="70"/>
  <c r="N25" i="70" s="1"/>
  <c r="R51" i="70"/>
  <c r="M50" i="70"/>
  <c r="M51" i="70" s="1"/>
  <c r="E50" i="70"/>
  <c r="C39" i="70"/>
  <c r="O39" i="70"/>
  <c r="O51" i="70" s="1"/>
  <c r="U15" i="70"/>
  <c r="U27" i="70"/>
  <c r="U28" i="70" s="1"/>
  <c r="H15" i="70"/>
  <c r="H25" i="70" s="1"/>
  <c r="E39" i="70"/>
  <c r="U29" i="70"/>
  <c r="U33" i="70" s="1"/>
  <c r="N39" i="70"/>
  <c r="H44" i="70"/>
  <c r="I51" i="70"/>
  <c r="T25" i="70"/>
  <c r="U7" i="70"/>
  <c r="U11" i="70" s="1"/>
  <c r="H49" i="70"/>
  <c r="U45" i="70"/>
  <c r="U49" i="70" s="1"/>
  <c r="U50" i="70" s="1"/>
  <c r="U24" i="70"/>
  <c r="K51" i="70"/>
  <c r="H39" i="70"/>
  <c r="C25" i="70"/>
  <c r="U34" i="70"/>
  <c r="U38" i="70" s="1"/>
  <c r="T39" i="70"/>
  <c r="H66" i="69"/>
  <c r="M62" i="69"/>
  <c r="H62" i="69"/>
  <c r="M61" i="69"/>
  <c r="M59" i="69"/>
  <c r="M58" i="69"/>
  <c r="M56" i="69"/>
  <c r="C49" i="69"/>
  <c r="C50" i="69" s="1"/>
  <c r="C44" i="69"/>
  <c r="C39" i="69"/>
  <c r="C38" i="69"/>
  <c r="C33" i="69"/>
  <c r="C28" i="69"/>
  <c r="C24" i="69"/>
  <c r="C19" i="69"/>
  <c r="C15" i="69"/>
  <c r="C25" i="69" s="1"/>
  <c r="C11" i="69"/>
  <c r="C51" i="69" s="1"/>
  <c r="Q51" i="70" l="1"/>
  <c r="J54" i="70"/>
  <c r="E51" i="70"/>
  <c r="J55" i="70" s="1"/>
  <c r="C51" i="70"/>
  <c r="N51" i="70"/>
  <c r="H50" i="70"/>
  <c r="H51" i="70" s="1"/>
  <c r="T51" i="70"/>
  <c r="U39" i="70"/>
  <c r="U25" i="70"/>
  <c r="T48" i="68"/>
  <c r="S48" i="68"/>
  <c r="Q48" i="68"/>
  <c r="Q49" i="68" s="1"/>
  <c r="N48" i="68"/>
  <c r="U48" i="68" s="1"/>
  <c r="M48" i="68"/>
  <c r="K48" i="68"/>
  <c r="H48" i="68"/>
  <c r="G48" i="68"/>
  <c r="E48" i="68"/>
  <c r="T47" i="68"/>
  <c r="S47" i="68"/>
  <c r="Q47" i="68"/>
  <c r="N47" i="68"/>
  <c r="M47" i="68"/>
  <c r="K47" i="68"/>
  <c r="H47" i="68"/>
  <c r="U47" i="68" s="1"/>
  <c r="G47" i="68"/>
  <c r="E47" i="68"/>
  <c r="T46" i="68"/>
  <c r="S46" i="68"/>
  <c r="S49" i="68" s="1"/>
  <c r="Q46" i="68"/>
  <c r="N46" i="68"/>
  <c r="M46" i="68"/>
  <c r="K46" i="68"/>
  <c r="H46" i="68"/>
  <c r="U46" i="68" s="1"/>
  <c r="G46" i="68"/>
  <c r="G49" i="68" s="1"/>
  <c r="E46" i="68"/>
  <c r="U45" i="68"/>
  <c r="T45" i="68"/>
  <c r="S45" i="68"/>
  <c r="Q45" i="68"/>
  <c r="N45" i="68"/>
  <c r="M45" i="68"/>
  <c r="K45" i="68"/>
  <c r="K49" i="68" s="1"/>
  <c r="H45" i="68"/>
  <c r="G45" i="68"/>
  <c r="E45" i="68"/>
  <c r="E49" i="68" s="1"/>
  <c r="T43" i="68"/>
  <c r="S43" i="68"/>
  <c r="Q43" i="68"/>
  <c r="N43" i="68"/>
  <c r="M43" i="68"/>
  <c r="K43" i="68"/>
  <c r="H43" i="68"/>
  <c r="U43" i="68" s="1"/>
  <c r="G43" i="68"/>
  <c r="E43" i="68"/>
  <c r="U42" i="68"/>
  <c r="T42" i="68"/>
  <c r="S42" i="68"/>
  <c r="Q42" i="68"/>
  <c r="N42" i="68"/>
  <c r="M42" i="68"/>
  <c r="K42" i="68"/>
  <c r="H42" i="68"/>
  <c r="G42" i="68"/>
  <c r="E42" i="68"/>
  <c r="T41" i="68"/>
  <c r="S41" i="68"/>
  <c r="Q41" i="68"/>
  <c r="N41" i="68"/>
  <c r="M41" i="68"/>
  <c r="K41" i="68"/>
  <c r="K44" i="68" s="1"/>
  <c r="H41" i="68"/>
  <c r="U41" i="68" s="1"/>
  <c r="G41" i="68"/>
  <c r="E41" i="68"/>
  <c r="T40" i="68"/>
  <c r="S40" i="68"/>
  <c r="S44" i="68" s="1"/>
  <c r="Q40" i="68"/>
  <c r="Q44" i="68" s="1"/>
  <c r="N40" i="68"/>
  <c r="N44" i="68" s="1"/>
  <c r="M40" i="68"/>
  <c r="K40" i="68"/>
  <c r="H40" i="68"/>
  <c r="U40" i="68" s="1"/>
  <c r="G40" i="68"/>
  <c r="E40" i="68"/>
  <c r="E44" i="68" s="1"/>
  <c r="T37" i="68"/>
  <c r="S37" i="68"/>
  <c r="Q37" i="68"/>
  <c r="N37" i="68"/>
  <c r="U37" i="68" s="1"/>
  <c r="M37" i="68"/>
  <c r="K37" i="68"/>
  <c r="H37" i="68"/>
  <c r="G37" i="68"/>
  <c r="E37" i="68"/>
  <c r="S36" i="68"/>
  <c r="P36" i="68"/>
  <c r="Q36" i="68" s="1"/>
  <c r="Q38" i="68" s="1"/>
  <c r="N36" i="68"/>
  <c r="M36" i="68"/>
  <c r="K36" i="68"/>
  <c r="H36" i="68"/>
  <c r="G36" i="68"/>
  <c r="E36" i="68"/>
  <c r="T35" i="68"/>
  <c r="S35" i="68"/>
  <c r="Q35" i="68"/>
  <c r="N35" i="68"/>
  <c r="M35" i="68"/>
  <c r="K35" i="68"/>
  <c r="H35" i="68"/>
  <c r="U35" i="68" s="1"/>
  <c r="G35" i="68"/>
  <c r="E35" i="68"/>
  <c r="T34" i="68"/>
  <c r="S34" i="68"/>
  <c r="Q34" i="68"/>
  <c r="N34" i="68"/>
  <c r="N38" i="68" s="1"/>
  <c r="M34" i="68"/>
  <c r="M38" i="68" s="1"/>
  <c r="K34" i="68"/>
  <c r="K38" i="68" s="1"/>
  <c r="H34" i="68"/>
  <c r="U34" i="68" s="1"/>
  <c r="G34" i="68"/>
  <c r="G38" i="68" s="1"/>
  <c r="E34" i="68"/>
  <c r="T32" i="68"/>
  <c r="S32" i="68"/>
  <c r="Q32" i="68"/>
  <c r="N32" i="68"/>
  <c r="M32" i="68"/>
  <c r="K32" i="68"/>
  <c r="H32" i="68"/>
  <c r="U32" i="68" s="1"/>
  <c r="G32" i="68"/>
  <c r="E32" i="68"/>
  <c r="T31" i="68"/>
  <c r="S31" i="68"/>
  <c r="Q31" i="68"/>
  <c r="N31" i="68"/>
  <c r="M31" i="68"/>
  <c r="K31" i="68"/>
  <c r="K33" i="68" s="1"/>
  <c r="H31" i="68"/>
  <c r="U31" i="68" s="1"/>
  <c r="G31" i="68"/>
  <c r="E31" i="68"/>
  <c r="D31" i="68"/>
  <c r="T30" i="68"/>
  <c r="S30" i="68"/>
  <c r="Q30" i="68"/>
  <c r="Q33" i="68" s="1"/>
  <c r="N30" i="68"/>
  <c r="N33" i="68" s="1"/>
  <c r="M30" i="68"/>
  <c r="M33" i="68" s="1"/>
  <c r="K30" i="68"/>
  <c r="H30" i="68"/>
  <c r="U30" i="68" s="1"/>
  <c r="G30" i="68"/>
  <c r="E30" i="68"/>
  <c r="U29" i="68"/>
  <c r="T29" i="68"/>
  <c r="T33" i="68" s="1"/>
  <c r="S29" i="68"/>
  <c r="Q29" i="68"/>
  <c r="N29" i="68"/>
  <c r="M29" i="68"/>
  <c r="K29" i="68"/>
  <c r="H29" i="68"/>
  <c r="H33" i="68" s="1"/>
  <c r="G29" i="68"/>
  <c r="E29" i="68"/>
  <c r="T27" i="68"/>
  <c r="S27" i="68"/>
  <c r="Q27" i="68"/>
  <c r="N27" i="68"/>
  <c r="M27" i="68"/>
  <c r="K27" i="68"/>
  <c r="H27" i="68"/>
  <c r="U27" i="68" s="1"/>
  <c r="G27" i="68"/>
  <c r="E27" i="68"/>
  <c r="U26" i="68"/>
  <c r="T26" i="68"/>
  <c r="S26" i="68"/>
  <c r="Q26" i="68"/>
  <c r="N26" i="68"/>
  <c r="N28" i="68" s="1"/>
  <c r="M26" i="68"/>
  <c r="M28" i="68" s="1"/>
  <c r="K26" i="68"/>
  <c r="K28" i="68" s="1"/>
  <c r="H26" i="68"/>
  <c r="G26" i="68"/>
  <c r="E26" i="68"/>
  <c r="T23" i="68"/>
  <c r="S23" i="68"/>
  <c r="Q23" i="68"/>
  <c r="N23" i="68"/>
  <c r="M23" i="68"/>
  <c r="K23" i="68"/>
  <c r="J23" i="68"/>
  <c r="H23" i="68"/>
  <c r="U23" i="68" s="1"/>
  <c r="G23" i="68"/>
  <c r="E23" i="68"/>
  <c r="T22" i="68"/>
  <c r="S22" i="68"/>
  <c r="Q22" i="68"/>
  <c r="Q24" i="68" s="1"/>
  <c r="M22" i="68"/>
  <c r="J22" i="68"/>
  <c r="N22" i="68" s="1"/>
  <c r="H22" i="68"/>
  <c r="U22" i="68" s="1"/>
  <c r="G22" i="68"/>
  <c r="E22" i="68"/>
  <c r="T21" i="68"/>
  <c r="S21" i="68"/>
  <c r="S24" i="68" s="1"/>
  <c r="Q21" i="68"/>
  <c r="M21" i="68"/>
  <c r="J21" i="68"/>
  <c r="K21" i="68" s="1"/>
  <c r="H21" i="68"/>
  <c r="G21" i="68"/>
  <c r="E21" i="68"/>
  <c r="T20" i="68"/>
  <c r="S20" i="68"/>
  <c r="Q20" i="68"/>
  <c r="M20" i="68"/>
  <c r="M24" i="68" s="1"/>
  <c r="J20" i="68"/>
  <c r="N20" i="68" s="1"/>
  <c r="H20" i="68"/>
  <c r="U20" i="68" s="1"/>
  <c r="G20" i="68"/>
  <c r="G24" i="68" s="1"/>
  <c r="D20" i="68"/>
  <c r="E20" i="68" s="1"/>
  <c r="E24" i="68" s="1"/>
  <c r="T18" i="68"/>
  <c r="S18" i="68"/>
  <c r="Q18" i="68"/>
  <c r="N18" i="68"/>
  <c r="N19" i="68" s="1"/>
  <c r="M18" i="68"/>
  <c r="K18" i="68"/>
  <c r="H18" i="68"/>
  <c r="G18" i="68"/>
  <c r="E18" i="68"/>
  <c r="T17" i="68"/>
  <c r="S17" i="68"/>
  <c r="Q17" i="68"/>
  <c r="Q19" i="68" s="1"/>
  <c r="N17" i="68"/>
  <c r="M17" i="68"/>
  <c r="K17" i="68"/>
  <c r="H17" i="68"/>
  <c r="U17" i="68" s="1"/>
  <c r="G17" i="68"/>
  <c r="E17" i="68"/>
  <c r="T16" i="68"/>
  <c r="S16" i="68"/>
  <c r="Q16" i="68"/>
  <c r="N16" i="68"/>
  <c r="M16" i="68"/>
  <c r="M19" i="68" s="1"/>
  <c r="K16" i="68"/>
  <c r="K19" i="68" s="1"/>
  <c r="H16" i="68"/>
  <c r="U16" i="68" s="1"/>
  <c r="G16" i="68"/>
  <c r="E16" i="68"/>
  <c r="E19" i="68" s="1"/>
  <c r="T14" i="68"/>
  <c r="S14" i="68"/>
  <c r="Q14" i="68"/>
  <c r="N14" i="68"/>
  <c r="U14" i="68" s="1"/>
  <c r="M14" i="68"/>
  <c r="K14" i="68"/>
  <c r="H14" i="68"/>
  <c r="G14" i="68"/>
  <c r="E14" i="68"/>
  <c r="T13" i="68"/>
  <c r="S13" i="68"/>
  <c r="Q13" i="68"/>
  <c r="N13" i="68"/>
  <c r="M13" i="68"/>
  <c r="K13" i="68"/>
  <c r="K15" i="68" s="1"/>
  <c r="H13" i="68"/>
  <c r="U13" i="68" s="1"/>
  <c r="G13" i="68"/>
  <c r="E13" i="68"/>
  <c r="T12" i="68"/>
  <c r="S12" i="68"/>
  <c r="Q12" i="68"/>
  <c r="N12" i="68"/>
  <c r="N15" i="68" s="1"/>
  <c r="M12" i="68"/>
  <c r="M15" i="68" s="1"/>
  <c r="K12" i="68"/>
  <c r="H12" i="68"/>
  <c r="U12" i="68" s="1"/>
  <c r="G12" i="68"/>
  <c r="G15" i="68" s="1"/>
  <c r="E12" i="68"/>
  <c r="E15" i="68" s="1"/>
  <c r="T10" i="68"/>
  <c r="S10" i="68"/>
  <c r="Q10" i="68"/>
  <c r="M10" i="68"/>
  <c r="J10" i="68"/>
  <c r="N10" i="68" s="1"/>
  <c r="N11" i="68" s="1"/>
  <c r="H10" i="68"/>
  <c r="G10" i="68"/>
  <c r="E10" i="68"/>
  <c r="T9" i="68"/>
  <c r="S9" i="68"/>
  <c r="Q9" i="68"/>
  <c r="N9" i="68"/>
  <c r="M9" i="68"/>
  <c r="K9" i="68"/>
  <c r="H9" i="68"/>
  <c r="U9" i="68" s="1"/>
  <c r="G9" i="68"/>
  <c r="E9" i="68"/>
  <c r="U8" i="68"/>
  <c r="T8" i="68"/>
  <c r="S8" i="68"/>
  <c r="Q8" i="68"/>
  <c r="N8" i="68"/>
  <c r="M8" i="68"/>
  <c r="K8" i="68"/>
  <c r="H8" i="68"/>
  <c r="G8" i="68"/>
  <c r="E8" i="68"/>
  <c r="T7" i="68"/>
  <c r="T11" i="68" s="1"/>
  <c r="S7" i="68"/>
  <c r="S11" i="68" s="1"/>
  <c r="Q7" i="68"/>
  <c r="N7" i="68"/>
  <c r="M7" i="68"/>
  <c r="K7" i="68"/>
  <c r="H7" i="68"/>
  <c r="G7" i="68"/>
  <c r="G11" i="68" s="1"/>
  <c r="E7" i="68"/>
  <c r="E11" i="68" s="1"/>
  <c r="H66" i="68"/>
  <c r="M62" i="68"/>
  <c r="H62" i="68"/>
  <c r="M61" i="68"/>
  <c r="M59" i="68"/>
  <c r="M58" i="68"/>
  <c r="M56" i="68"/>
  <c r="R49" i="68"/>
  <c r="R50" i="68" s="1"/>
  <c r="P49" i="68"/>
  <c r="O49" i="68"/>
  <c r="M49" i="68"/>
  <c r="L49" i="68"/>
  <c r="L50" i="68" s="1"/>
  <c r="J49" i="68"/>
  <c r="J50" i="68" s="1"/>
  <c r="I49" i="68"/>
  <c r="I50" i="68" s="1"/>
  <c r="F49" i="68"/>
  <c r="F50" i="68" s="1"/>
  <c r="D49" i="68"/>
  <c r="C49" i="68"/>
  <c r="C50" i="68" s="1"/>
  <c r="T49" i="68"/>
  <c r="N49" i="68"/>
  <c r="H49" i="68"/>
  <c r="H50" i="68" s="1"/>
  <c r="T44" i="68"/>
  <c r="R44" i="68"/>
  <c r="P44" i="68"/>
  <c r="O44" i="68"/>
  <c r="M44" i="68"/>
  <c r="L44" i="68"/>
  <c r="J44" i="68"/>
  <c r="I44" i="68"/>
  <c r="H44" i="68"/>
  <c r="G44" i="68"/>
  <c r="F44" i="68"/>
  <c r="D44" i="68"/>
  <c r="D50" i="68" s="1"/>
  <c r="C44" i="68"/>
  <c r="S38" i="68"/>
  <c r="R38" i="68"/>
  <c r="P38" i="68"/>
  <c r="O38" i="68"/>
  <c r="L38" i="68"/>
  <c r="L39" i="68" s="1"/>
  <c r="J38" i="68"/>
  <c r="I38" i="68"/>
  <c r="F38" i="68"/>
  <c r="E38" i="68"/>
  <c r="D38" i="68"/>
  <c r="C38" i="68"/>
  <c r="S33" i="68"/>
  <c r="R33" i="68"/>
  <c r="P33" i="68"/>
  <c r="O33" i="68"/>
  <c r="L33" i="68"/>
  <c r="J33" i="68"/>
  <c r="I33" i="68"/>
  <c r="G33" i="68"/>
  <c r="F33" i="68"/>
  <c r="E33" i="68"/>
  <c r="D33" i="68"/>
  <c r="C33" i="68"/>
  <c r="S28" i="68"/>
  <c r="R28" i="68"/>
  <c r="Q28" i="68"/>
  <c r="P28" i="68"/>
  <c r="O28" i="68"/>
  <c r="L28" i="68"/>
  <c r="J28" i="68"/>
  <c r="I28" i="68"/>
  <c r="G28" i="68"/>
  <c r="F28" i="68"/>
  <c r="E28" i="68"/>
  <c r="D28" i="68"/>
  <c r="C28" i="68"/>
  <c r="T28" i="68"/>
  <c r="R24" i="68"/>
  <c r="P24" i="68"/>
  <c r="O24" i="68"/>
  <c r="L24" i="68"/>
  <c r="I24" i="68"/>
  <c r="F24" i="68"/>
  <c r="D24" i="68"/>
  <c r="C24" i="68"/>
  <c r="T24" i="68"/>
  <c r="S19" i="68"/>
  <c r="R19" i="68"/>
  <c r="P19" i="68"/>
  <c r="O19" i="68"/>
  <c r="O25" i="68" s="1"/>
  <c r="L19" i="68"/>
  <c r="J19" i="68"/>
  <c r="I19" i="68"/>
  <c r="G19" i="68"/>
  <c r="F19" i="68"/>
  <c r="D19" i="68"/>
  <c r="C19" i="68"/>
  <c r="T19" i="68"/>
  <c r="S15" i="68"/>
  <c r="R15" i="68"/>
  <c r="Q15" i="68"/>
  <c r="P15" i="68"/>
  <c r="O15" i="68"/>
  <c r="L15" i="68"/>
  <c r="J15" i="68"/>
  <c r="I15" i="68"/>
  <c r="F15" i="68"/>
  <c r="D15" i="68"/>
  <c r="C15" i="68"/>
  <c r="T15" i="68"/>
  <c r="R11" i="68"/>
  <c r="Q11" i="68"/>
  <c r="P11" i="68"/>
  <c r="O11" i="68"/>
  <c r="M11" i="68"/>
  <c r="L11" i="68"/>
  <c r="I11" i="68"/>
  <c r="F11" i="68"/>
  <c r="D11" i="68"/>
  <c r="C11" i="68"/>
  <c r="H11" i="68"/>
  <c r="T48" i="66"/>
  <c r="N48" i="66"/>
  <c r="H48" i="66"/>
  <c r="U48" i="66" s="1"/>
  <c r="U47" i="66"/>
  <c r="T47" i="66"/>
  <c r="N47" i="66"/>
  <c r="H47" i="66"/>
  <c r="T46" i="66"/>
  <c r="N46" i="66"/>
  <c r="U46" i="66" s="1"/>
  <c r="H46" i="66"/>
  <c r="T45" i="66"/>
  <c r="N45" i="66"/>
  <c r="H45" i="66"/>
  <c r="U45" i="66" s="1"/>
  <c r="T43" i="66"/>
  <c r="N43" i="66"/>
  <c r="H43" i="66"/>
  <c r="U43" i="66" s="1"/>
  <c r="T42" i="66"/>
  <c r="N42" i="66"/>
  <c r="H42" i="66"/>
  <c r="U42" i="66" s="1"/>
  <c r="T41" i="66"/>
  <c r="U41" i="66" s="1"/>
  <c r="N41" i="66"/>
  <c r="H41" i="66"/>
  <c r="T40" i="66"/>
  <c r="N40" i="66"/>
  <c r="H40" i="66"/>
  <c r="U40" i="66" s="1"/>
  <c r="T37" i="66"/>
  <c r="N37" i="66"/>
  <c r="H37" i="66"/>
  <c r="U37" i="66" s="1"/>
  <c r="T36" i="66"/>
  <c r="N36" i="66"/>
  <c r="U36" i="66" s="1"/>
  <c r="H36" i="66"/>
  <c r="T35" i="66"/>
  <c r="N35" i="66"/>
  <c r="U35" i="66" s="1"/>
  <c r="H35" i="66"/>
  <c r="T34" i="66"/>
  <c r="N34" i="66"/>
  <c r="H34" i="66"/>
  <c r="U34" i="66" s="1"/>
  <c r="T32" i="66"/>
  <c r="N32" i="66"/>
  <c r="H32" i="66"/>
  <c r="U32" i="66" s="1"/>
  <c r="T31" i="66"/>
  <c r="N31" i="66"/>
  <c r="U31" i="66" s="1"/>
  <c r="H31" i="66"/>
  <c r="T30" i="66"/>
  <c r="N30" i="66"/>
  <c r="U30" i="66" s="1"/>
  <c r="H30" i="66"/>
  <c r="T29" i="66"/>
  <c r="N29" i="66"/>
  <c r="H29" i="66"/>
  <c r="U29" i="66" s="1"/>
  <c r="T27" i="66"/>
  <c r="N27" i="66"/>
  <c r="H27" i="66"/>
  <c r="U27" i="66" s="1"/>
  <c r="U26" i="66"/>
  <c r="T26" i="66"/>
  <c r="N26" i="66"/>
  <c r="H26" i="66"/>
  <c r="T23" i="66"/>
  <c r="N23" i="66"/>
  <c r="H23" i="66"/>
  <c r="U23" i="66" s="1"/>
  <c r="U22" i="66"/>
  <c r="T22" i="66"/>
  <c r="N22" i="66"/>
  <c r="H22" i="66"/>
  <c r="T21" i="66"/>
  <c r="N21" i="66"/>
  <c r="U21" i="66" s="1"/>
  <c r="H21" i="66"/>
  <c r="T20" i="66"/>
  <c r="N20" i="66"/>
  <c r="H20" i="66"/>
  <c r="U20" i="66" s="1"/>
  <c r="T18" i="66"/>
  <c r="N18" i="66"/>
  <c r="H18" i="66"/>
  <c r="U18" i="66" s="1"/>
  <c r="T17" i="66"/>
  <c r="N17" i="66"/>
  <c r="U17" i="66" s="1"/>
  <c r="H17" i="66"/>
  <c r="T16" i="66"/>
  <c r="N16" i="66"/>
  <c r="U16" i="66" s="1"/>
  <c r="H16" i="66"/>
  <c r="T14" i="66"/>
  <c r="N14" i="66"/>
  <c r="H14" i="66"/>
  <c r="U14" i="66" s="1"/>
  <c r="T13" i="66"/>
  <c r="N13" i="66"/>
  <c r="U13" i="66" s="1"/>
  <c r="H13" i="66"/>
  <c r="T12" i="66"/>
  <c r="N12" i="66"/>
  <c r="U12" i="66" s="1"/>
  <c r="H12" i="66"/>
  <c r="T10" i="66"/>
  <c r="N10" i="66"/>
  <c r="H10" i="66"/>
  <c r="U10" i="66" s="1"/>
  <c r="T9" i="66"/>
  <c r="N9" i="66"/>
  <c r="H9" i="66"/>
  <c r="U9" i="66" s="1"/>
  <c r="T8" i="66"/>
  <c r="U8" i="66" s="1"/>
  <c r="N8" i="66"/>
  <c r="H8" i="66"/>
  <c r="T7" i="66"/>
  <c r="N7" i="66"/>
  <c r="H7" i="66"/>
  <c r="U7" i="66" s="1"/>
  <c r="J56" i="70" l="1"/>
  <c r="U51" i="70"/>
  <c r="J55" i="69"/>
  <c r="J56" i="69"/>
  <c r="J54" i="69"/>
  <c r="L51" i="68"/>
  <c r="P50" i="68"/>
  <c r="Q50" i="68"/>
  <c r="E50" i="68"/>
  <c r="G50" i="68"/>
  <c r="K50" i="68"/>
  <c r="M50" i="68"/>
  <c r="O50" i="68"/>
  <c r="U44" i="68"/>
  <c r="S50" i="68"/>
  <c r="H38" i="68"/>
  <c r="T36" i="68"/>
  <c r="T38" i="68" s="1"/>
  <c r="U38" i="68" s="1"/>
  <c r="D51" i="68"/>
  <c r="G39" i="68"/>
  <c r="S39" i="68"/>
  <c r="D39" i="68"/>
  <c r="R39" i="68"/>
  <c r="F39" i="68"/>
  <c r="I39" i="68"/>
  <c r="E39" i="68"/>
  <c r="Q39" i="68"/>
  <c r="M39" i="68"/>
  <c r="J39" i="68"/>
  <c r="K39" i="68"/>
  <c r="C39" i="68"/>
  <c r="O39" i="68"/>
  <c r="O51" i="68"/>
  <c r="P39" i="68"/>
  <c r="J24" i="68"/>
  <c r="K20" i="68"/>
  <c r="N21" i="68"/>
  <c r="U21" i="68" s="1"/>
  <c r="H24" i="68"/>
  <c r="K22" i="68"/>
  <c r="I51" i="68"/>
  <c r="U18" i="68"/>
  <c r="H19" i="68"/>
  <c r="U19" i="68"/>
  <c r="F51" i="68"/>
  <c r="P51" i="68"/>
  <c r="E51" i="68"/>
  <c r="Q51" i="68"/>
  <c r="F25" i="68"/>
  <c r="R51" i="68"/>
  <c r="H15" i="68"/>
  <c r="C51" i="68"/>
  <c r="U10" i="68"/>
  <c r="G51" i="68"/>
  <c r="U7" i="68"/>
  <c r="C25" i="68"/>
  <c r="L25" i="68"/>
  <c r="J11" i="68"/>
  <c r="J51" i="68" s="1"/>
  <c r="I25" i="68"/>
  <c r="D25" i="68"/>
  <c r="R25" i="68"/>
  <c r="K10" i="68"/>
  <c r="K11" i="68" s="1"/>
  <c r="Q25" i="68"/>
  <c r="M25" i="68"/>
  <c r="P25" i="68"/>
  <c r="E25" i="68"/>
  <c r="S25" i="68"/>
  <c r="G25" i="68"/>
  <c r="N50" i="68"/>
  <c r="T50" i="68"/>
  <c r="U49" i="68"/>
  <c r="U33" i="68"/>
  <c r="U11" i="68"/>
  <c r="T25" i="68"/>
  <c r="N39" i="68"/>
  <c r="S51" i="68"/>
  <c r="M51" i="68"/>
  <c r="H28" i="68"/>
  <c r="U50" i="68" l="1"/>
  <c r="T39" i="68"/>
  <c r="T51" i="68"/>
  <c r="U36" i="68"/>
  <c r="H51" i="68"/>
  <c r="N24" i="68"/>
  <c r="K24" i="68"/>
  <c r="J54" i="68"/>
  <c r="H25" i="68"/>
  <c r="U15" i="68"/>
  <c r="K51" i="68"/>
  <c r="J55" i="68" s="1"/>
  <c r="K25" i="68"/>
  <c r="J25" i="68"/>
  <c r="H39" i="68"/>
  <c r="U39" i="68" s="1"/>
  <c r="U28" i="68"/>
  <c r="N25" i="68" l="1"/>
  <c r="U25" i="68" s="1"/>
  <c r="N51" i="68"/>
  <c r="J56" i="68" s="1"/>
  <c r="U24" i="68"/>
  <c r="U51" i="68" s="1"/>
  <c r="H66" i="66" l="1"/>
  <c r="M62" i="66"/>
  <c r="H62" i="66"/>
  <c r="M61" i="66"/>
  <c r="M59" i="66"/>
  <c r="M58" i="66"/>
  <c r="M56" i="66"/>
  <c r="R49" i="66"/>
  <c r="P49" i="66"/>
  <c r="P50" i="66" s="1"/>
  <c r="L49" i="66"/>
  <c r="J49" i="66"/>
  <c r="J50" i="66" s="1"/>
  <c r="I49" i="66"/>
  <c r="F49" i="66"/>
  <c r="O49" i="66"/>
  <c r="C49" i="66"/>
  <c r="S49" i="66"/>
  <c r="S50" i="66" s="1"/>
  <c r="Q49" i="66"/>
  <c r="M49" i="66"/>
  <c r="M50" i="66" s="1"/>
  <c r="K49" i="66"/>
  <c r="G49" i="66"/>
  <c r="E49" i="66"/>
  <c r="D49" i="66"/>
  <c r="D50" i="66" s="1"/>
  <c r="R44" i="66"/>
  <c r="P44" i="66"/>
  <c r="M44" i="66"/>
  <c r="L44" i="66"/>
  <c r="J44" i="66"/>
  <c r="F44" i="66"/>
  <c r="D44" i="66"/>
  <c r="I44" i="66"/>
  <c r="S44" i="66"/>
  <c r="Q44" i="66"/>
  <c r="K44" i="66"/>
  <c r="G44" i="66"/>
  <c r="E44" i="66"/>
  <c r="C44" i="66"/>
  <c r="S38" i="66"/>
  <c r="R38" i="66"/>
  <c r="L38" i="66"/>
  <c r="G38" i="66"/>
  <c r="F38" i="66"/>
  <c r="D38" i="66"/>
  <c r="C38" i="66"/>
  <c r="J38" i="66"/>
  <c r="P38" i="66"/>
  <c r="P39" i="66" s="1"/>
  <c r="Q38" i="66"/>
  <c r="O38" i="66"/>
  <c r="M38" i="66"/>
  <c r="K38" i="66"/>
  <c r="K39" i="66" s="1"/>
  <c r="N38" i="66"/>
  <c r="E38" i="66"/>
  <c r="H38" i="66"/>
  <c r="R33" i="66"/>
  <c r="P33" i="66"/>
  <c r="L33" i="66"/>
  <c r="I33" i="66"/>
  <c r="F33" i="66"/>
  <c r="D33" i="66"/>
  <c r="N33" i="66"/>
  <c r="S33" i="66"/>
  <c r="Q33" i="66"/>
  <c r="O33" i="66"/>
  <c r="M33" i="66"/>
  <c r="K33" i="66"/>
  <c r="J33" i="66"/>
  <c r="G33" i="66"/>
  <c r="E33" i="66"/>
  <c r="C33" i="66"/>
  <c r="R28" i="66"/>
  <c r="P28" i="66"/>
  <c r="L28" i="66"/>
  <c r="L39" i="66" s="1"/>
  <c r="K28" i="66"/>
  <c r="J28" i="66"/>
  <c r="G28" i="66"/>
  <c r="F28" i="66"/>
  <c r="E28" i="66"/>
  <c r="D28" i="66"/>
  <c r="Q28" i="66"/>
  <c r="S28" i="66"/>
  <c r="O28" i="66"/>
  <c r="M28" i="66"/>
  <c r="I28" i="66"/>
  <c r="C28" i="66"/>
  <c r="R24" i="66"/>
  <c r="Q24" i="66"/>
  <c r="P24" i="66"/>
  <c r="L24" i="66"/>
  <c r="J24" i="66"/>
  <c r="F24" i="66"/>
  <c r="E24" i="66"/>
  <c r="D24" i="66"/>
  <c r="D25" i="66" s="1"/>
  <c r="S24" i="66"/>
  <c r="O24" i="66"/>
  <c r="N24" i="66"/>
  <c r="M24" i="66"/>
  <c r="K24" i="66"/>
  <c r="I24" i="66"/>
  <c r="G24" i="66"/>
  <c r="C24" i="66"/>
  <c r="R19" i="66"/>
  <c r="Q19" i="66"/>
  <c r="P19" i="66"/>
  <c r="L19" i="66"/>
  <c r="F19" i="66"/>
  <c r="F25" i="66" s="1"/>
  <c r="E19" i="66"/>
  <c r="D19" i="66"/>
  <c r="J19" i="66"/>
  <c r="S19" i="66"/>
  <c r="O19" i="66"/>
  <c r="M19" i="66"/>
  <c r="K19" i="66"/>
  <c r="I19" i="66"/>
  <c r="G19" i="66"/>
  <c r="C19" i="66"/>
  <c r="R15" i="66"/>
  <c r="Q15" i="66"/>
  <c r="P15" i="66"/>
  <c r="L15" i="66"/>
  <c r="J15" i="66"/>
  <c r="F15" i="66"/>
  <c r="E15" i="66"/>
  <c r="D15" i="66"/>
  <c r="S15" i="66"/>
  <c r="O15" i="66"/>
  <c r="M15" i="66"/>
  <c r="K15" i="66"/>
  <c r="I15" i="66"/>
  <c r="G15" i="66"/>
  <c r="C15" i="66"/>
  <c r="R11" i="66"/>
  <c r="P11" i="66"/>
  <c r="O11" i="66"/>
  <c r="L11" i="66"/>
  <c r="J11" i="66"/>
  <c r="F11" i="66"/>
  <c r="D11" i="66"/>
  <c r="C11" i="66"/>
  <c r="S11" i="66"/>
  <c r="Q11" i="66"/>
  <c r="M11" i="66"/>
  <c r="K11" i="66"/>
  <c r="I11" i="66"/>
  <c r="G11" i="66"/>
  <c r="E11" i="66"/>
  <c r="L50" i="66" l="1"/>
  <c r="R50" i="66"/>
  <c r="Q50" i="66"/>
  <c r="F50" i="66"/>
  <c r="S39" i="66"/>
  <c r="G39" i="66"/>
  <c r="R39" i="66"/>
  <c r="D39" i="66"/>
  <c r="F39" i="66"/>
  <c r="D51" i="66"/>
  <c r="L51" i="66"/>
  <c r="E51" i="66"/>
  <c r="F51" i="66"/>
  <c r="J25" i="66"/>
  <c r="R51" i="66"/>
  <c r="R25" i="66"/>
  <c r="L25" i="66"/>
  <c r="P25" i="66"/>
  <c r="M25" i="66"/>
  <c r="G51" i="66"/>
  <c r="O25" i="66"/>
  <c r="O39" i="66"/>
  <c r="C50" i="66"/>
  <c r="M39" i="66"/>
  <c r="N28" i="66"/>
  <c r="N39" i="66" s="1"/>
  <c r="Q39" i="66"/>
  <c r="S25" i="66"/>
  <c r="E25" i="66"/>
  <c r="E50" i="66"/>
  <c r="I50" i="66"/>
  <c r="K51" i="66"/>
  <c r="M51" i="66"/>
  <c r="T11" i="66"/>
  <c r="T33" i="66"/>
  <c r="T38" i="66"/>
  <c r="G50" i="66"/>
  <c r="Q51" i="66"/>
  <c r="C25" i="66"/>
  <c r="S51" i="66"/>
  <c r="C51" i="66"/>
  <c r="J51" i="66"/>
  <c r="N44" i="66"/>
  <c r="K50" i="66"/>
  <c r="C39" i="66"/>
  <c r="T28" i="66"/>
  <c r="E39" i="66"/>
  <c r="T44" i="66"/>
  <c r="O50" i="66"/>
  <c r="O51" i="66"/>
  <c r="T15" i="66"/>
  <c r="I25" i="66"/>
  <c r="N49" i="66"/>
  <c r="G25" i="66"/>
  <c r="Q25" i="66"/>
  <c r="P51" i="66"/>
  <c r="K25" i="66"/>
  <c r="J39" i="66"/>
  <c r="N19" i="66"/>
  <c r="H44" i="66"/>
  <c r="N15" i="66"/>
  <c r="I38" i="66"/>
  <c r="I39" i="66" s="1"/>
  <c r="O44" i="66"/>
  <c r="N11" i="66"/>
  <c r="T19" i="66"/>
  <c r="H28" i="66"/>
  <c r="H19" i="66"/>
  <c r="H24" i="66"/>
  <c r="S14" i="65"/>
  <c r="Q14" i="65"/>
  <c r="O14" i="65"/>
  <c r="T14" i="65" s="1"/>
  <c r="M14" i="65"/>
  <c r="K14" i="65"/>
  <c r="I14" i="65"/>
  <c r="N14" i="65" s="1"/>
  <c r="G14" i="65"/>
  <c r="E14" i="65"/>
  <c r="C14" i="65"/>
  <c r="H14" i="65" s="1"/>
  <c r="S13" i="65"/>
  <c r="Q13" i="65"/>
  <c r="O13" i="65"/>
  <c r="T13" i="65" s="1"/>
  <c r="M13" i="65"/>
  <c r="K13" i="65"/>
  <c r="I13" i="65"/>
  <c r="N13" i="65" s="1"/>
  <c r="G13" i="65"/>
  <c r="E13" i="65"/>
  <c r="C13" i="65"/>
  <c r="H13" i="65" s="1"/>
  <c r="S12" i="65"/>
  <c r="Q12" i="65"/>
  <c r="O12" i="65"/>
  <c r="T12" i="65" s="1"/>
  <c r="M12" i="65"/>
  <c r="K12" i="65"/>
  <c r="I12" i="65"/>
  <c r="N12" i="65" s="1"/>
  <c r="G12" i="65"/>
  <c r="E12" i="65"/>
  <c r="C12" i="65"/>
  <c r="H12" i="65" s="1"/>
  <c r="U12" i="65" s="1"/>
  <c r="S10" i="65"/>
  <c r="Q10" i="65"/>
  <c r="O10" i="65"/>
  <c r="T10" i="65" s="1"/>
  <c r="M10" i="65"/>
  <c r="K10" i="65"/>
  <c r="I10" i="65"/>
  <c r="N10" i="65" s="1"/>
  <c r="G10" i="65"/>
  <c r="E10" i="65"/>
  <c r="C10" i="65"/>
  <c r="H10" i="65" s="1"/>
  <c r="S9" i="65"/>
  <c r="Q9" i="65"/>
  <c r="O9" i="65"/>
  <c r="T9" i="65" s="1"/>
  <c r="M9" i="65"/>
  <c r="K9" i="65"/>
  <c r="I9" i="65"/>
  <c r="N9" i="65" s="1"/>
  <c r="G9" i="65"/>
  <c r="E9" i="65"/>
  <c r="C9" i="65"/>
  <c r="H9" i="65" s="1"/>
  <c r="T8" i="65"/>
  <c r="S8" i="65"/>
  <c r="Q8" i="65"/>
  <c r="O8" i="65"/>
  <c r="N8" i="65"/>
  <c r="M8" i="65"/>
  <c r="K8" i="65"/>
  <c r="I8" i="65"/>
  <c r="H8" i="65"/>
  <c r="U8" i="65" s="1"/>
  <c r="G8" i="65"/>
  <c r="E8" i="65"/>
  <c r="C8" i="65"/>
  <c r="T7" i="65"/>
  <c r="S7" i="65"/>
  <c r="Q7" i="65"/>
  <c r="O7" i="65"/>
  <c r="N7" i="65"/>
  <c r="M7" i="65"/>
  <c r="K7" i="65"/>
  <c r="I7" i="65"/>
  <c r="H7" i="65"/>
  <c r="U7" i="65" s="1"/>
  <c r="G7" i="65"/>
  <c r="E7" i="65"/>
  <c r="C7" i="65"/>
  <c r="J54" i="66" l="1"/>
  <c r="J55" i="66"/>
  <c r="N25" i="66"/>
  <c r="T24" i="66"/>
  <c r="N50" i="66"/>
  <c r="T39" i="66"/>
  <c r="U38" i="66"/>
  <c r="U33" i="66"/>
  <c r="H11" i="66"/>
  <c r="T49" i="66"/>
  <c r="U15" i="66"/>
  <c r="T51" i="66"/>
  <c r="N51" i="66"/>
  <c r="H49" i="66"/>
  <c r="H50" i="66" s="1"/>
  <c r="U44" i="66"/>
  <c r="I51" i="66"/>
  <c r="U19" i="66"/>
  <c r="H33" i="66"/>
  <c r="H39" i="66" s="1"/>
  <c r="H15" i="66"/>
  <c r="U11" i="66"/>
  <c r="U28" i="66"/>
  <c r="U13" i="65"/>
  <c r="U14" i="65"/>
  <c r="U10" i="65"/>
  <c r="U9" i="65"/>
  <c r="H25" i="66" l="1"/>
  <c r="U49" i="66"/>
  <c r="U50" i="66" s="1"/>
  <c r="T50" i="66"/>
  <c r="H51" i="66"/>
  <c r="J56" i="66" s="1"/>
  <c r="U39" i="66"/>
  <c r="T25" i="66"/>
  <c r="U24" i="66"/>
  <c r="U51" i="66" s="1"/>
  <c r="H66" i="65"/>
  <c r="M62" i="65"/>
  <c r="H62" i="65"/>
  <c r="M61" i="65"/>
  <c r="M59" i="65"/>
  <c r="M58" i="65"/>
  <c r="M56" i="65"/>
  <c r="L50" i="65"/>
  <c r="E50" i="65"/>
  <c r="R49" i="65"/>
  <c r="P49" i="65"/>
  <c r="P50" i="65" s="1"/>
  <c r="L49" i="65"/>
  <c r="K49" i="65"/>
  <c r="F49" i="65"/>
  <c r="T48" i="65"/>
  <c r="S48" i="65"/>
  <c r="Q48" i="65"/>
  <c r="O48" i="65"/>
  <c r="M48" i="65"/>
  <c r="K48" i="65"/>
  <c r="J48" i="65"/>
  <c r="I48" i="65"/>
  <c r="N48" i="65" s="1"/>
  <c r="H48" i="65"/>
  <c r="G48" i="65"/>
  <c r="E48" i="65"/>
  <c r="C48" i="65"/>
  <c r="T47" i="65"/>
  <c r="U47" i="65" s="1"/>
  <c r="S47" i="65"/>
  <c r="Q47" i="65"/>
  <c r="O47" i="65"/>
  <c r="O49" i="65" s="1"/>
  <c r="N47" i="65"/>
  <c r="M47" i="65"/>
  <c r="K47" i="65"/>
  <c r="I47" i="65"/>
  <c r="G47" i="65"/>
  <c r="E47" i="65"/>
  <c r="D47" i="65"/>
  <c r="C47" i="65"/>
  <c r="H47" i="65" s="1"/>
  <c r="T46" i="65"/>
  <c r="U46" i="65" s="1"/>
  <c r="S46" i="65"/>
  <c r="Q46" i="65"/>
  <c r="O46" i="65"/>
  <c r="N46" i="65"/>
  <c r="M46" i="65"/>
  <c r="K46" i="65"/>
  <c r="I46" i="65"/>
  <c r="H46" i="65"/>
  <c r="G46" i="65"/>
  <c r="G49" i="65" s="1"/>
  <c r="E46" i="65"/>
  <c r="C46" i="65"/>
  <c r="T45" i="65"/>
  <c r="T49" i="65" s="1"/>
  <c r="S45" i="65"/>
  <c r="S49" i="65" s="1"/>
  <c r="Q45" i="65"/>
  <c r="O45" i="65"/>
  <c r="M45" i="65"/>
  <c r="M49" i="65" s="1"/>
  <c r="K45" i="65"/>
  <c r="J45" i="65"/>
  <c r="J49" i="65" s="1"/>
  <c r="I45" i="65"/>
  <c r="I49" i="65" s="1"/>
  <c r="I50" i="65" s="1"/>
  <c r="G45" i="65"/>
  <c r="E45" i="65"/>
  <c r="E49" i="65" s="1"/>
  <c r="D45" i="65"/>
  <c r="D49" i="65" s="1"/>
  <c r="D50" i="65" s="1"/>
  <c r="C45" i="65"/>
  <c r="H45" i="65" s="1"/>
  <c r="H49" i="65" s="1"/>
  <c r="H50" i="65" s="1"/>
  <c r="R44" i="65"/>
  <c r="R50" i="65" s="1"/>
  <c r="P44" i="65"/>
  <c r="L44" i="65"/>
  <c r="K44" i="65"/>
  <c r="J44" i="65"/>
  <c r="F44" i="65"/>
  <c r="F50" i="65" s="1"/>
  <c r="D44" i="65"/>
  <c r="C44" i="65"/>
  <c r="S43" i="65"/>
  <c r="Q43" i="65"/>
  <c r="O43" i="65"/>
  <c r="T43" i="65" s="1"/>
  <c r="U43" i="65" s="1"/>
  <c r="M43" i="65"/>
  <c r="K43" i="65"/>
  <c r="I43" i="65"/>
  <c r="N43" i="65" s="1"/>
  <c r="G43" i="65"/>
  <c r="E43" i="65"/>
  <c r="C43" i="65"/>
  <c r="H43" i="65" s="1"/>
  <c r="T42" i="65"/>
  <c r="U42" i="65" s="1"/>
  <c r="S42" i="65"/>
  <c r="Q42" i="65"/>
  <c r="O42" i="65"/>
  <c r="N42" i="65"/>
  <c r="M42" i="65"/>
  <c r="K42" i="65"/>
  <c r="I42" i="65"/>
  <c r="H42" i="65"/>
  <c r="G42" i="65"/>
  <c r="E42" i="65"/>
  <c r="C42" i="65"/>
  <c r="T41" i="65"/>
  <c r="S41" i="65"/>
  <c r="S44" i="65" s="1"/>
  <c r="Q41" i="65"/>
  <c r="O41" i="65"/>
  <c r="N41" i="65"/>
  <c r="M41" i="65"/>
  <c r="K41" i="65"/>
  <c r="I41" i="65"/>
  <c r="H41" i="65"/>
  <c r="G41" i="65"/>
  <c r="G44" i="65" s="1"/>
  <c r="E41" i="65"/>
  <c r="C41" i="65"/>
  <c r="T40" i="65"/>
  <c r="T44" i="65" s="1"/>
  <c r="S40" i="65"/>
  <c r="Q40" i="65"/>
  <c r="O40" i="65"/>
  <c r="N40" i="65"/>
  <c r="N44" i="65" s="1"/>
  <c r="M40" i="65"/>
  <c r="K40" i="65"/>
  <c r="I40" i="65"/>
  <c r="I44" i="65" s="1"/>
  <c r="H40" i="65"/>
  <c r="H44" i="65" s="1"/>
  <c r="G40" i="65"/>
  <c r="E40" i="65"/>
  <c r="E44" i="65" s="1"/>
  <c r="C40" i="65"/>
  <c r="R38" i="65"/>
  <c r="Q38" i="65"/>
  <c r="L38" i="65"/>
  <c r="L39" i="65" s="1"/>
  <c r="I38" i="65"/>
  <c r="F38" i="65"/>
  <c r="D38" i="65"/>
  <c r="D39" i="65" s="1"/>
  <c r="T37" i="65"/>
  <c r="S37" i="65"/>
  <c r="Q37" i="65"/>
  <c r="O37" i="65"/>
  <c r="N37" i="65"/>
  <c r="M37" i="65"/>
  <c r="M38" i="65" s="1"/>
  <c r="K37" i="65"/>
  <c r="I37" i="65"/>
  <c r="H37" i="65"/>
  <c r="G37" i="65"/>
  <c r="E37" i="65"/>
  <c r="C37" i="65"/>
  <c r="S36" i="65"/>
  <c r="Q36" i="65"/>
  <c r="P36" i="65"/>
  <c r="P38" i="65" s="1"/>
  <c r="P39" i="65" s="1"/>
  <c r="O36" i="65"/>
  <c r="T36" i="65" s="1"/>
  <c r="U36" i="65" s="1"/>
  <c r="M36" i="65"/>
  <c r="K36" i="65"/>
  <c r="J36" i="65"/>
  <c r="J38" i="65" s="1"/>
  <c r="I36" i="65"/>
  <c r="N36" i="65" s="1"/>
  <c r="H36" i="65"/>
  <c r="G36" i="65"/>
  <c r="E36" i="65"/>
  <c r="C36" i="65"/>
  <c r="S35" i="65"/>
  <c r="Q35" i="65"/>
  <c r="P35" i="65"/>
  <c r="O35" i="65"/>
  <c r="T35" i="65" s="1"/>
  <c r="U35" i="65" s="1"/>
  <c r="N35" i="65"/>
  <c r="M35" i="65"/>
  <c r="K35" i="65"/>
  <c r="I35" i="65"/>
  <c r="H35" i="65"/>
  <c r="G35" i="65"/>
  <c r="E35" i="65"/>
  <c r="C35" i="65"/>
  <c r="S34" i="65"/>
  <c r="Q34" i="65"/>
  <c r="O34" i="65"/>
  <c r="M34" i="65"/>
  <c r="K34" i="65"/>
  <c r="I34" i="65"/>
  <c r="N34" i="65" s="1"/>
  <c r="G34" i="65"/>
  <c r="E34" i="65"/>
  <c r="E38" i="65" s="1"/>
  <c r="C34" i="65"/>
  <c r="R33" i="65"/>
  <c r="R39" i="65" s="1"/>
  <c r="P33" i="65"/>
  <c r="L33" i="65"/>
  <c r="F33" i="65"/>
  <c r="F39" i="65" s="1"/>
  <c r="D33" i="65"/>
  <c r="S32" i="65"/>
  <c r="Q32" i="65"/>
  <c r="O32" i="65"/>
  <c r="T32" i="65" s="1"/>
  <c r="M32" i="65"/>
  <c r="K32" i="65"/>
  <c r="J32" i="65"/>
  <c r="I32" i="65"/>
  <c r="H32" i="65"/>
  <c r="G32" i="65"/>
  <c r="E32" i="65"/>
  <c r="C32" i="65"/>
  <c r="T31" i="65"/>
  <c r="S31" i="65"/>
  <c r="Q31" i="65"/>
  <c r="O31" i="65"/>
  <c r="N31" i="65"/>
  <c r="M31" i="65"/>
  <c r="K31" i="65"/>
  <c r="I31" i="65"/>
  <c r="H31" i="65"/>
  <c r="G31" i="65"/>
  <c r="E31" i="65"/>
  <c r="C31" i="65"/>
  <c r="T30" i="65"/>
  <c r="U30" i="65" s="1"/>
  <c r="S30" i="65"/>
  <c r="Q30" i="65"/>
  <c r="O30" i="65"/>
  <c r="O33" i="65" s="1"/>
  <c r="M30" i="65"/>
  <c r="K30" i="65"/>
  <c r="J30" i="65"/>
  <c r="J33" i="65" s="1"/>
  <c r="I30" i="65"/>
  <c r="N30" i="65" s="1"/>
  <c r="G30" i="65"/>
  <c r="E30" i="65"/>
  <c r="C30" i="65"/>
  <c r="H30" i="65" s="1"/>
  <c r="T29" i="65"/>
  <c r="T33" i="65" s="1"/>
  <c r="S29" i="65"/>
  <c r="S33" i="65" s="1"/>
  <c r="Q29" i="65"/>
  <c r="O29" i="65"/>
  <c r="M29" i="65"/>
  <c r="M33" i="65" s="1"/>
  <c r="K29" i="65"/>
  <c r="K33" i="65" s="1"/>
  <c r="J29" i="65"/>
  <c r="I29" i="65"/>
  <c r="N29" i="65" s="1"/>
  <c r="H29" i="65"/>
  <c r="H33" i="65" s="1"/>
  <c r="G29" i="65"/>
  <c r="G33" i="65" s="1"/>
  <c r="E29" i="65"/>
  <c r="C29" i="65"/>
  <c r="R28" i="65"/>
  <c r="P28" i="65"/>
  <c r="L28" i="65"/>
  <c r="F28" i="65"/>
  <c r="D28" i="65"/>
  <c r="T27" i="65"/>
  <c r="S27" i="65"/>
  <c r="Q27" i="65"/>
  <c r="O27" i="65"/>
  <c r="M27" i="65"/>
  <c r="M28" i="65" s="1"/>
  <c r="K27" i="65"/>
  <c r="J27" i="65"/>
  <c r="I27" i="65"/>
  <c r="N27" i="65" s="1"/>
  <c r="H27" i="65"/>
  <c r="H28" i="65" s="1"/>
  <c r="G27" i="65"/>
  <c r="E27" i="65"/>
  <c r="C27" i="65"/>
  <c r="S26" i="65"/>
  <c r="Q26" i="65"/>
  <c r="Q28" i="65" s="1"/>
  <c r="O26" i="65"/>
  <c r="M26" i="65"/>
  <c r="K26" i="65"/>
  <c r="K28" i="65" s="1"/>
  <c r="J26" i="65"/>
  <c r="J28" i="65" s="1"/>
  <c r="I26" i="65"/>
  <c r="N26" i="65" s="1"/>
  <c r="H26" i="65"/>
  <c r="G26" i="65"/>
  <c r="G28" i="65" s="1"/>
  <c r="E26" i="65"/>
  <c r="E28" i="65" s="1"/>
  <c r="C26" i="65"/>
  <c r="C28" i="65" s="1"/>
  <c r="S24" i="65"/>
  <c r="R24" i="65"/>
  <c r="P24" i="65"/>
  <c r="L24" i="65"/>
  <c r="K24" i="65"/>
  <c r="J24" i="65"/>
  <c r="F24" i="65"/>
  <c r="D24" i="65"/>
  <c r="S23" i="65"/>
  <c r="Q23" i="65"/>
  <c r="O23" i="65"/>
  <c r="T23" i="65" s="1"/>
  <c r="M23" i="65"/>
  <c r="K23" i="65"/>
  <c r="I23" i="65"/>
  <c r="N23" i="65" s="1"/>
  <c r="U23" i="65" s="1"/>
  <c r="G23" i="65"/>
  <c r="E23" i="65"/>
  <c r="C23" i="65"/>
  <c r="H23" i="65" s="1"/>
  <c r="T22" i="65"/>
  <c r="U22" i="65" s="1"/>
  <c r="S22" i="65"/>
  <c r="Q22" i="65"/>
  <c r="O22" i="65"/>
  <c r="N22" i="65"/>
  <c r="M22" i="65"/>
  <c r="K22" i="65"/>
  <c r="I22" i="65"/>
  <c r="G22" i="65"/>
  <c r="G24" i="65" s="1"/>
  <c r="E22" i="65"/>
  <c r="D22" i="65"/>
  <c r="C22" i="65"/>
  <c r="H22" i="65" s="1"/>
  <c r="S21" i="65"/>
  <c r="Q21" i="65"/>
  <c r="O21" i="65"/>
  <c r="T21" i="65" s="1"/>
  <c r="M21" i="65"/>
  <c r="K21" i="65"/>
  <c r="I21" i="65"/>
  <c r="N21" i="65" s="1"/>
  <c r="G21" i="65"/>
  <c r="E21" i="65"/>
  <c r="C21" i="65"/>
  <c r="H21" i="65" s="1"/>
  <c r="S20" i="65"/>
  <c r="Q20" i="65"/>
  <c r="O20" i="65"/>
  <c r="T20" i="65" s="1"/>
  <c r="M20" i="65"/>
  <c r="M24" i="65" s="1"/>
  <c r="K20" i="65"/>
  <c r="I20" i="65"/>
  <c r="G20" i="65"/>
  <c r="E20" i="65"/>
  <c r="C20" i="65"/>
  <c r="H20" i="65" s="1"/>
  <c r="S19" i="65"/>
  <c r="R19" i="65"/>
  <c r="P19" i="65"/>
  <c r="L19" i="65"/>
  <c r="J19" i="65"/>
  <c r="G19" i="65"/>
  <c r="F19" i="65"/>
  <c r="D19" i="65"/>
  <c r="S18" i="65"/>
  <c r="Q18" i="65"/>
  <c r="O18" i="65"/>
  <c r="T18" i="65" s="1"/>
  <c r="M18" i="65"/>
  <c r="K18" i="65"/>
  <c r="I18" i="65"/>
  <c r="N18" i="65" s="1"/>
  <c r="G18" i="65"/>
  <c r="E18" i="65"/>
  <c r="C18" i="65"/>
  <c r="H18" i="65" s="1"/>
  <c r="U18" i="65" s="1"/>
  <c r="T17" i="65"/>
  <c r="S17" i="65"/>
  <c r="Q17" i="65"/>
  <c r="O17" i="65"/>
  <c r="M17" i="65"/>
  <c r="K17" i="65"/>
  <c r="K19" i="65" s="1"/>
  <c r="J17" i="65"/>
  <c r="I17" i="65"/>
  <c r="N17" i="65" s="1"/>
  <c r="H17" i="65"/>
  <c r="G17" i="65"/>
  <c r="E17" i="65"/>
  <c r="C17" i="65"/>
  <c r="T16" i="65"/>
  <c r="T19" i="65" s="1"/>
  <c r="S16" i="65"/>
  <c r="Q16" i="65"/>
  <c r="Q19" i="65" s="1"/>
  <c r="O16" i="65"/>
  <c r="M16" i="65"/>
  <c r="M19" i="65" s="1"/>
  <c r="K16" i="65"/>
  <c r="J16" i="65"/>
  <c r="I16" i="65"/>
  <c r="I19" i="65" s="1"/>
  <c r="G16" i="65"/>
  <c r="E16" i="65"/>
  <c r="E19" i="65" s="1"/>
  <c r="C16" i="65"/>
  <c r="H16" i="65" s="1"/>
  <c r="T15" i="65"/>
  <c r="S15" i="65"/>
  <c r="R15" i="65"/>
  <c r="Q15" i="65"/>
  <c r="P15" i="65"/>
  <c r="O15" i="65"/>
  <c r="N15" i="65"/>
  <c r="M15" i="65"/>
  <c r="L15" i="65"/>
  <c r="K15" i="65"/>
  <c r="J15" i="65"/>
  <c r="I15" i="65"/>
  <c r="H15" i="65"/>
  <c r="G15" i="65"/>
  <c r="F15" i="65"/>
  <c r="E15" i="65"/>
  <c r="D15" i="65"/>
  <c r="C15" i="65"/>
  <c r="T11" i="65"/>
  <c r="S11" i="65"/>
  <c r="R11" i="65"/>
  <c r="Q11" i="65"/>
  <c r="P11" i="65"/>
  <c r="O11" i="65"/>
  <c r="N11" i="65"/>
  <c r="M11" i="65"/>
  <c r="L11" i="65"/>
  <c r="L51" i="65" s="1"/>
  <c r="K11" i="65"/>
  <c r="J11" i="65"/>
  <c r="I11" i="65"/>
  <c r="H11" i="65"/>
  <c r="G11" i="65"/>
  <c r="F11" i="65"/>
  <c r="E11" i="65"/>
  <c r="D11" i="65"/>
  <c r="C11" i="65"/>
  <c r="U11" i="65"/>
  <c r="U25" i="66" l="1"/>
  <c r="S25" i="65"/>
  <c r="F51" i="65"/>
  <c r="R51" i="65"/>
  <c r="G25" i="65"/>
  <c r="M39" i="65"/>
  <c r="I39" i="65"/>
  <c r="U49" i="65"/>
  <c r="U50" i="65" s="1"/>
  <c r="T50" i="65"/>
  <c r="K25" i="65"/>
  <c r="O50" i="65"/>
  <c r="M51" i="65"/>
  <c r="U21" i="65"/>
  <c r="Q39" i="65"/>
  <c r="J39" i="65"/>
  <c r="S50" i="65"/>
  <c r="G50" i="65"/>
  <c r="D51" i="65"/>
  <c r="J51" i="65"/>
  <c r="D25" i="65"/>
  <c r="M50" i="65"/>
  <c r="C49" i="65"/>
  <c r="C50" i="65" s="1"/>
  <c r="Q24" i="65"/>
  <c r="Q25" i="65" s="1"/>
  <c r="F25" i="65"/>
  <c r="N28" i="65"/>
  <c r="U27" i="65"/>
  <c r="O38" i="65"/>
  <c r="O39" i="65" s="1"/>
  <c r="T34" i="65"/>
  <c r="N45" i="65"/>
  <c r="N49" i="65" s="1"/>
  <c r="N50" i="65" s="1"/>
  <c r="K50" i="65"/>
  <c r="C19" i="65"/>
  <c r="C51" i="65" s="1"/>
  <c r="H24" i="65"/>
  <c r="I28" i="65"/>
  <c r="U31" i="65"/>
  <c r="Q44" i="65"/>
  <c r="Q51" i="65" s="1"/>
  <c r="J50" i="65"/>
  <c r="K51" i="65"/>
  <c r="H19" i="65"/>
  <c r="U19" i="65" s="1"/>
  <c r="U16" i="65"/>
  <c r="U17" i="65"/>
  <c r="E24" i="65"/>
  <c r="E25" i="65" s="1"/>
  <c r="M25" i="65"/>
  <c r="C24" i="65"/>
  <c r="C25" i="65" s="1"/>
  <c r="J25" i="65"/>
  <c r="O24" i="65"/>
  <c r="S28" i="65"/>
  <c r="S51" i="65" s="1"/>
  <c r="E33" i="65"/>
  <c r="E39" i="65" s="1"/>
  <c r="Q33" i="65"/>
  <c r="N32" i="65"/>
  <c r="U32" i="65" s="1"/>
  <c r="C33" i="65"/>
  <c r="C38" i="65"/>
  <c r="C39" i="65" s="1"/>
  <c r="H34" i="65"/>
  <c r="H38" i="65" s="1"/>
  <c r="H39" i="65" s="1"/>
  <c r="K38" i="65"/>
  <c r="K39" i="65" s="1"/>
  <c r="S38" i="65"/>
  <c r="S39" i="65" s="1"/>
  <c r="U37" i="65"/>
  <c r="M44" i="65"/>
  <c r="Q49" i="65"/>
  <c r="U48" i="65"/>
  <c r="H51" i="65"/>
  <c r="P51" i="65"/>
  <c r="T24" i="65"/>
  <c r="L25" i="65"/>
  <c r="U44" i="65"/>
  <c r="O44" i="65"/>
  <c r="I24" i="65"/>
  <c r="N20" i="65"/>
  <c r="N24" i="65" s="1"/>
  <c r="N25" i="65" s="1"/>
  <c r="R25" i="65"/>
  <c r="O28" i="65"/>
  <c r="T26" i="65"/>
  <c r="G38" i="65"/>
  <c r="G39" i="65" s="1"/>
  <c r="U40" i="65"/>
  <c r="U41" i="65"/>
  <c r="U45" i="65"/>
  <c r="U15" i="65"/>
  <c r="N16" i="65"/>
  <c r="N19" i="65" s="1"/>
  <c r="O19" i="65"/>
  <c r="O51" i="65" s="1"/>
  <c r="P25" i="65"/>
  <c r="N38" i="65"/>
  <c r="U29" i="65"/>
  <c r="I33" i="65"/>
  <c r="U13" i="64"/>
  <c r="U14" i="64"/>
  <c r="U15" i="64"/>
  <c r="U12" i="64"/>
  <c r="D15" i="64"/>
  <c r="E15" i="64"/>
  <c r="F15" i="64"/>
  <c r="G15" i="64"/>
  <c r="H15" i="64"/>
  <c r="I15" i="64"/>
  <c r="J15" i="64"/>
  <c r="K15" i="64"/>
  <c r="L15" i="64"/>
  <c r="M15" i="64"/>
  <c r="N15" i="64"/>
  <c r="O15" i="64"/>
  <c r="P15" i="64"/>
  <c r="Q15" i="64"/>
  <c r="R15" i="64"/>
  <c r="S15" i="64"/>
  <c r="T15" i="64"/>
  <c r="C15" i="64"/>
  <c r="U11" i="64"/>
  <c r="U8" i="64"/>
  <c r="U9" i="64"/>
  <c r="U10" i="64"/>
  <c r="U7" i="64"/>
  <c r="N11" i="64"/>
  <c r="D38" i="64"/>
  <c r="F38" i="64"/>
  <c r="L38" i="64"/>
  <c r="R38" i="64"/>
  <c r="D44" i="64"/>
  <c r="F44" i="64"/>
  <c r="J44" i="64"/>
  <c r="L44" i="64"/>
  <c r="P44" i="64"/>
  <c r="R44" i="64"/>
  <c r="F49" i="64"/>
  <c r="L49" i="64"/>
  <c r="P49" i="64"/>
  <c r="P50" i="64" s="1"/>
  <c r="R49" i="64"/>
  <c r="S48" i="64"/>
  <c r="Q48" i="64"/>
  <c r="O48" i="64"/>
  <c r="T48" i="64" s="1"/>
  <c r="M48" i="64"/>
  <c r="K48" i="64"/>
  <c r="J48" i="64"/>
  <c r="I48" i="64"/>
  <c r="G48" i="64"/>
  <c r="E48" i="64"/>
  <c r="C48" i="64"/>
  <c r="H48" i="64" s="1"/>
  <c r="S47" i="64"/>
  <c r="Q47" i="64"/>
  <c r="O47" i="64"/>
  <c r="T47" i="64" s="1"/>
  <c r="M47" i="64"/>
  <c r="K47" i="64"/>
  <c r="I47" i="64"/>
  <c r="N47" i="64" s="1"/>
  <c r="G47" i="64"/>
  <c r="E47" i="64"/>
  <c r="D47" i="64"/>
  <c r="C47" i="64"/>
  <c r="H47" i="64" s="1"/>
  <c r="S46" i="64"/>
  <c r="Q46" i="64"/>
  <c r="O46" i="64"/>
  <c r="T46" i="64" s="1"/>
  <c r="M46" i="64"/>
  <c r="K46" i="64"/>
  <c r="I46" i="64"/>
  <c r="N46" i="64" s="1"/>
  <c r="G46" i="64"/>
  <c r="E46" i="64"/>
  <c r="C46" i="64"/>
  <c r="H46" i="64" s="1"/>
  <c r="S45" i="64"/>
  <c r="S49" i="64" s="1"/>
  <c r="Q45" i="64"/>
  <c r="O45" i="64"/>
  <c r="M45" i="64"/>
  <c r="K45" i="64"/>
  <c r="K49" i="64" s="1"/>
  <c r="J45" i="64"/>
  <c r="J49" i="64" s="1"/>
  <c r="I45" i="64"/>
  <c r="G45" i="64"/>
  <c r="E45" i="64"/>
  <c r="E49" i="64" s="1"/>
  <c r="D45" i="64"/>
  <c r="D49" i="64" s="1"/>
  <c r="C45" i="64"/>
  <c r="S43" i="64"/>
  <c r="Q43" i="64"/>
  <c r="O43" i="64"/>
  <c r="T43" i="64" s="1"/>
  <c r="M43" i="64"/>
  <c r="K43" i="64"/>
  <c r="I43" i="64"/>
  <c r="N43" i="64" s="1"/>
  <c r="G43" i="64"/>
  <c r="E43" i="64"/>
  <c r="C43" i="64"/>
  <c r="H43" i="64" s="1"/>
  <c r="S42" i="64"/>
  <c r="Q42" i="64"/>
  <c r="O42" i="64"/>
  <c r="T42" i="64" s="1"/>
  <c r="M42" i="64"/>
  <c r="K42" i="64"/>
  <c r="I42" i="64"/>
  <c r="N42" i="64" s="1"/>
  <c r="G42" i="64"/>
  <c r="E42" i="64"/>
  <c r="C42" i="64"/>
  <c r="H42" i="64" s="1"/>
  <c r="S41" i="64"/>
  <c r="Q41" i="64"/>
  <c r="O41" i="64"/>
  <c r="T41" i="64" s="1"/>
  <c r="U41" i="64" s="1"/>
  <c r="M41" i="64"/>
  <c r="K41" i="64"/>
  <c r="I41" i="64"/>
  <c r="N41" i="64" s="1"/>
  <c r="G41" i="64"/>
  <c r="E41" i="64"/>
  <c r="C41" i="64"/>
  <c r="H41" i="64" s="1"/>
  <c r="S40" i="64"/>
  <c r="Q40" i="64"/>
  <c r="O40" i="64"/>
  <c r="O44" i="64" s="1"/>
  <c r="M40" i="64"/>
  <c r="K40" i="64"/>
  <c r="I40" i="64"/>
  <c r="G40" i="64"/>
  <c r="G44" i="64" s="1"/>
  <c r="E40" i="64"/>
  <c r="C40" i="64"/>
  <c r="S37" i="64"/>
  <c r="Q37" i="64"/>
  <c r="O37" i="64"/>
  <c r="T37" i="64" s="1"/>
  <c r="M37" i="64"/>
  <c r="K37" i="64"/>
  <c r="I37" i="64"/>
  <c r="N37" i="64" s="1"/>
  <c r="G37" i="64"/>
  <c r="E37" i="64"/>
  <c r="C37" i="64"/>
  <c r="H37" i="64" s="1"/>
  <c r="S36" i="64"/>
  <c r="Q36" i="64"/>
  <c r="P36" i="64"/>
  <c r="O36" i="64"/>
  <c r="T36" i="64" s="1"/>
  <c r="M36" i="64"/>
  <c r="K36" i="64"/>
  <c r="J36" i="64"/>
  <c r="J38" i="64" s="1"/>
  <c r="I36" i="64"/>
  <c r="N36" i="64" s="1"/>
  <c r="G36" i="64"/>
  <c r="E36" i="64"/>
  <c r="C36" i="64"/>
  <c r="H36" i="64" s="1"/>
  <c r="S35" i="64"/>
  <c r="Q35" i="64"/>
  <c r="P35" i="64"/>
  <c r="P38" i="64" s="1"/>
  <c r="O35" i="64"/>
  <c r="T35" i="64" s="1"/>
  <c r="M35" i="64"/>
  <c r="K35" i="64"/>
  <c r="I35" i="64"/>
  <c r="N35" i="64" s="1"/>
  <c r="G35" i="64"/>
  <c r="E35" i="64"/>
  <c r="C35" i="64"/>
  <c r="H35" i="64" s="1"/>
  <c r="S34" i="64"/>
  <c r="Q34" i="64"/>
  <c r="O34" i="64"/>
  <c r="M34" i="64"/>
  <c r="K34" i="64"/>
  <c r="I34" i="64"/>
  <c r="G34" i="64"/>
  <c r="E34" i="64"/>
  <c r="C34" i="64"/>
  <c r="R33" i="64"/>
  <c r="P33" i="64"/>
  <c r="L33" i="64"/>
  <c r="F33" i="64"/>
  <c r="D33" i="64"/>
  <c r="S32" i="64"/>
  <c r="Q32" i="64"/>
  <c r="O32" i="64"/>
  <c r="T32" i="64" s="1"/>
  <c r="M32" i="64"/>
  <c r="K32" i="64"/>
  <c r="J32" i="64"/>
  <c r="I32" i="64"/>
  <c r="G32" i="64"/>
  <c r="E32" i="64"/>
  <c r="C32" i="64"/>
  <c r="H32" i="64" s="1"/>
  <c r="S31" i="64"/>
  <c r="Q31" i="64"/>
  <c r="O31" i="64"/>
  <c r="T31" i="64" s="1"/>
  <c r="M31" i="64"/>
  <c r="K31" i="64"/>
  <c r="I31" i="64"/>
  <c r="N31" i="64" s="1"/>
  <c r="G31" i="64"/>
  <c r="E31" i="64"/>
  <c r="C31" i="64"/>
  <c r="H31" i="64" s="1"/>
  <c r="S30" i="64"/>
  <c r="Q30" i="64"/>
  <c r="O30" i="64"/>
  <c r="T30" i="64" s="1"/>
  <c r="M30" i="64"/>
  <c r="K30" i="64"/>
  <c r="J30" i="64"/>
  <c r="I30" i="64"/>
  <c r="I33" i="64" s="1"/>
  <c r="G30" i="64"/>
  <c r="E30" i="64"/>
  <c r="C30" i="64"/>
  <c r="H30" i="64" s="1"/>
  <c r="S29" i="64"/>
  <c r="S33" i="64" s="1"/>
  <c r="Q29" i="64"/>
  <c r="O29" i="64"/>
  <c r="M29" i="64"/>
  <c r="K29" i="64"/>
  <c r="J29" i="64"/>
  <c r="I29" i="64"/>
  <c r="N29" i="64" s="1"/>
  <c r="G29" i="64"/>
  <c r="E29" i="64"/>
  <c r="C29" i="64"/>
  <c r="H29" i="64" s="1"/>
  <c r="R28" i="64"/>
  <c r="P28" i="64"/>
  <c r="L28" i="64"/>
  <c r="F28" i="64"/>
  <c r="D28" i="64"/>
  <c r="S27" i="64"/>
  <c r="Q27" i="64"/>
  <c r="O27" i="64"/>
  <c r="T27" i="64" s="1"/>
  <c r="M27" i="64"/>
  <c r="K27" i="64"/>
  <c r="J27" i="64"/>
  <c r="I27" i="64"/>
  <c r="N27" i="64" s="1"/>
  <c r="G27" i="64"/>
  <c r="E27" i="64"/>
  <c r="C27" i="64"/>
  <c r="H27" i="64" s="1"/>
  <c r="S26" i="64"/>
  <c r="Q26" i="64"/>
  <c r="O26" i="64"/>
  <c r="M26" i="64"/>
  <c r="K26" i="64"/>
  <c r="J26" i="64"/>
  <c r="I26" i="64"/>
  <c r="G26" i="64"/>
  <c r="E26" i="64"/>
  <c r="C26" i="64"/>
  <c r="H26" i="64" s="1"/>
  <c r="R24" i="64"/>
  <c r="P24" i="64"/>
  <c r="L24" i="64"/>
  <c r="J24" i="64"/>
  <c r="F24" i="64"/>
  <c r="D24" i="64"/>
  <c r="S23" i="64"/>
  <c r="Q23" i="64"/>
  <c r="O23" i="64"/>
  <c r="T23" i="64" s="1"/>
  <c r="U23" i="64" s="1"/>
  <c r="M23" i="64"/>
  <c r="K23" i="64"/>
  <c r="I23" i="64"/>
  <c r="N23" i="64" s="1"/>
  <c r="G23" i="64"/>
  <c r="E23" i="64"/>
  <c r="C23" i="64"/>
  <c r="H23" i="64" s="1"/>
  <c r="S22" i="64"/>
  <c r="Q22" i="64"/>
  <c r="O22" i="64"/>
  <c r="T22" i="64" s="1"/>
  <c r="U22" i="64" s="1"/>
  <c r="M22" i="64"/>
  <c r="K22" i="64"/>
  <c r="I22" i="64"/>
  <c r="N22" i="64" s="1"/>
  <c r="G22" i="64"/>
  <c r="E22" i="64"/>
  <c r="D22" i="64"/>
  <c r="C22" i="64"/>
  <c r="H22" i="64" s="1"/>
  <c r="S21" i="64"/>
  <c r="Q21" i="64"/>
  <c r="O21" i="64"/>
  <c r="T21" i="64" s="1"/>
  <c r="M21" i="64"/>
  <c r="K21" i="64"/>
  <c r="I21" i="64"/>
  <c r="N21" i="64" s="1"/>
  <c r="G21" i="64"/>
  <c r="E21" i="64"/>
  <c r="C21" i="64"/>
  <c r="H21" i="64" s="1"/>
  <c r="S20" i="64"/>
  <c r="Q20" i="64"/>
  <c r="O20" i="64"/>
  <c r="M20" i="64"/>
  <c r="K20" i="64"/>
  <c r="I20" i="64"/>
  <c r="G20" i="64"/>
  <c r="E20" i="64"/>
  <c r="C20" i="64"/>
  <c r="R19" i="64"/>
  <c r="P19" i="64"/>
  <c r="L19" i="64"/>
  <c r="F19" i="64"/>
  <c r="D19" i="64"/>
  <c r="S18" i="64"/>
  <c r="Q18" i="64"/>
  <c r="O18" i="64"/>
  <c r="T18" i="64" s="1"/>
  <c r="M18" i="64"/>
  <c r="K18" i="64"/>
  <c r="I18" i="64"/>
  <c r="N18" i="64" s="1"/>
  <c r="G18" i="64"/>
  <c r="E18" i="64"/>
  <c r="C18" i="64"/>
  <c r="H18" i="64" s="1"/>
  <c r="S17" i="64"/>
  <c r="Q17" i="64"/>
  <c r="O17" i="64"/>
  <c r="T17" i="64" s="1"/>
  <c r="M17" i="64"/>
  <c r="K17" i="64"/>
  <c r="J17" i="64"/>
  <c r="I17" i="64"/>
  <c r="H17" i="64"/>
  <c r="G17" i="64"/>
  <c r="E17" i="64"/>
  <c r="C17" i="64"/>
  <c r="T16" i="64"/>
  <c r="S16" i="64"/>
  <c r="Q16" i="64"/>
  <c r="O16" i="64"/>
  <c r="M16" i="64"/>
  <c r="K16" i="64"/>
  <c r="J16" i="64"/>
  <c r="J19" i="64" s="1"/>
  <c r="I16" i="64"/>
  <c r="G16" i="64"/>
  <c r="E16" i="64"/>
  <c r="C16" i="64"/>
  <c r="H16" i="64" s="1"/>
  <c r="R11" i="64"/>
  <c r="Q11" i="64"/>
  <c r="P11" i="64"/>
  <c r="L11" i="64"/>
  <c r="K11" i="64"/>
  <c r="J11" i="64"/>
  <c r="F11" i="64"/>
  <c r="E11" i="64"/>
  <c r="D11" i="64"/>
  <c r="G11" i="64"/>
  <c r="S11" i="64"/>
  <c r="M11" i="64"/>
  <c r="H66" i="64"/>
  <c r="M62" i="64"/>
  <c r="H62" i="64"/>
  <c r="M61" i="64"/>
  <c r="M59" i="64"/>
  <c r="M58" i="64"/>
  <c r="M56" i="64"/>
  <c r="J54" i="65" l="1"/>
  <c r="N39" i="65"/>
  <c r="T38" i="65"/>
  <c r="U34" i="65"/>
  <c r="T28" i="65"/>
  <c r="U28" i="65" s="1"/>
  <c r="U26" i="65"/>
  <c r="I25" i="65"/>
  <c r="I51" i="65"/>
  <c r="U24" i="65"/>
  <c r="T25" i="65"/>
  <c r="G51" i="65"/>
  <c r="N51" i="65"/>
  <c r="Q50" i="65"/>
  <c r="O25" i="65"/>
  <c r="N33" i="65"/>
  <c r="U33" i="65" s="1"/>
  <c r="E51" i="65"/>
  <c r="U20" i="65"/>
  <c r="H25" i="65"/>
  <c r="K19" i="64"/>
  <c r="K51" i="64" s="1"/>
  <c r="Q44" i="64"/>
  <c r="H28" i="64"/>
  <c r="D39" i="64"/>
  <c r="U36" i="64"/>
  <c r="C44" i="64"/>
  <c r="K44" i="64"/>
  <c r="S44" i="64"/>
  <c r="S50" i="64" s="1"/>
  <c r="I49" i="64"/>
  <c r="O49" i="64"/>
  <c r="L39" i="64"/>
  <c r="E50" i="64"/>
  <c r="I44" i="64"/>
  <c r="Q19" i="64"/>
  <c r="E19" i="64"/>
  <c r="U18" i="64"/>
  <c r="U27" i="64"/>
  <c r="E44" i="64"/>
  <c r="M44" i="64"/>
  <c r="U42" i="64"/>
  <c r="U37" i="64"/>
  <c r="U43" i="64"/>
  <c r="U46" i="64"/>
  <c r="S28" i="64"/>
  <c r="U35" i="64"/>
  <c r="L50" i="64"/>
  <c r="D25" i="64"/>
  <c r="N16" i="64"/>
  <c r="U16" i="64" s="1"/>
  <c r="N17" i="64"/>
  <c r="U17" i="64" s="1"/>
  <c r="U21" i="64"/>
  <c r="N32" i="64"/>
  <c r="U32" i="64" s="1"/>
  <c r="C38" i="64"/>
  <c r="K38" i="64"/>
  <c r="S38" i="64"/>
  <c r="Q38" i="64"/>
  <c r="Q49" i="64"/>
  <c r="Q50" i="64" s="1"/>
  <c r="N48" i="64"/>
  <c r="U48" i="64"/>
  <c r="M24" i="64"/>
  <c r="E28" i="64"/>
  <c r="J28" i="64"/>
  <c r="Q33" i="64"/>
  <c r="P39" i="64"/>
  <c r="G38" i="64"/>
  <c r="O38" i="64"/>
  <c r="E38" i="64"/>
  <c r="M38" i="64"/>
  <c r="H40" i="64"/>
  <c r="H44" i="64" s="1"/>
  <c r="N40" i="64"/>
  <c r="N44" i="64" s="1"/>
  <c r="T40" i="64"/>
  <c r="T44" i="64" s="1"/>
  <c r="G49" i="64"/>
  <c r="G50" i="64" s="1"/>
  <c r="M49" i="64"/>
  <c r="T45" i="64"/>
  <c r="U47" i="64"/>
  <c r="D50" i="64"/>
  <c r="I50" i="64"/>
  <c r="H33" i="64"/>
  <c r="U31" i="64"/>
  <c r="M50" i="64"/>
  <c r="G19" i="64"/>
  <c r="T19" i="64"/>
  <c r="M19" i="64"/>
  <c r="M28" i="64"/>
  <c r="K33" i="64"/>
  <c r="T49" i="64"/>
  <c r="I38" i="64"/>
  <c r="I39" i="64" s="1"/>
  <c r="R51" i="64"/>
  <c r="K24" i="64"/>
  <c r="S24" i="64"/>
  <c r="I28" i="64"/>
  <c r="G33" i="64"/>
  <c r="C49" i="64"/>
  <c r="C50" i="64" s="1"/>
  <c r="S19" i="64"/>
  <c r="G24" i="64"/>
  <c r="G25" i="64" s="1"/>
  <c r="M33" i="64"/>
  <c r="R39" i="64"/>
  <c r="F39" i="64"/>
  <c r="L51" i="64"/>
  <c r="F51" i="64"/>
  <c r="P51" i="64"/>
  <c r="D51" i="64"/>
  <c r="J25" i="64"/>
  <c r="L25" i="64"/>
  <c r="F25" i="64"/>
  <c r="R25" i="64"/>
  <c r="O50" i="64"/>
  <c r="K50" i="64"/>
  <c r="R50" i="64"/>
  <c r="J50" i="64"/>
  <c r="F50" i="64"/>
  <c r="H20" i="64"/>
  <c r="H24" i="64" s="1"/>
  <c r="C24" i="64"/>
  <c r="K25" i="64"/>
  <c r="H11" i="64"/>
  <c r="C11" i="64"/>
  <c r="I11" i="64"/>
  <c r="H19" i="64"/>
  <c r="C19" i="64"/>
  <c r="T20" i="64"/>
  <c r="O24" i="64"/>
  <c r="P25" i="64"/>
  <c r="Q28" i="64"/>
  <c r="E33" i="64"/>
  <c r="J33" i="64"/>
  <c r="T11" i="64"/>
  <c r="O11" i="64"/>
  <c r="I19" i="64"/>
  <c r="O19" i="64"/>
  <c r="I24" i="64"/>
  <c r="N20" i="64"/>
  <c r="N24" i="64" s="1"/>
  <c r="Q24" i="64"/>
  <c r="G28" i="64"/>
  <c r="K28" i="64"/>
  <c r="N30" i="64"/>
  <c r="N33" i="64" s="1"/>
  <c r="C33" i="64"/>
  <c r="E24" i="64"/>
  <c r="E25" i="64" s="1"/>
  <c r="C28" i="64"/>
  <c r="O28" i="64"/>
  <c r="T26" i="64"/>
  <c r="T29" i="64"/>
  <c r="O33" i="64"/>
  <c r="N45" i="64"/>
  <c r="N26" i="64"/>
  <c r="N28" i="64" s="1"/>
  <c r="H34" i="64"/>
  <c r="H38" i="64" s="1"/>
  <c r="H39" i="64" s="1"/>
  <c r="N34" i="64"/>
  <c r="N38" i="64" s="1"/>
  <c r="T34" i="64"/>
  <c r="H45" i="64"/>
  <c r="H49" i="64" s="1"/>
  <c r="D51" i="63"/>
  <c r="E51" i="63"/>
  <c r="F51" i="63"/>
  <c r="G51" i="63"/>
  <c r="H51" i="63"/>
  <c r="I51" i="63"/>
  <c r="J51" i="63"/>
  <c r="K51" i="63"/>
  <c r="L51" i="63"/>
  <c r="M51" i="63"/>
  <c r="N51" i="63"/>
  <c r="O51" i="63"/>
  <c r="P51" i="63"/>
  <c r="Q51" i="63"/>
  <c r="R51" i="63"/>
  <c r="S51" i="63"/>
  <c r="T51" i="63"/>
  <c r="U51" i="63"/>
  <c r="C51" i="63"/>
  <c r="D51" i="62"/>
  <c r="E51" i="62"/>
  <c r="F51" i="62"/>
  <c r="G51" i="62"/>
  <c r="H51" i="62"/>
  <c r="I51" i="62"/>
  <c r="J51" i="62"/>
  <c r="K51" i="62"/>
  <c r="L51" i="62"/>
  <c r="M51" i="62"/>
  <c r="N51" i="62"/>
  <c r="O51" i="62"/>
  <c r="P51" i="62"/>
  <c r="Q51" i="62"/>
  <c r="R51" i="62"/>
  <c r="S51" i="62"/>
  <c r="T51" i="62"/>
  <c r="U51" i="62"/>
  <c r="C51" i="62"/>
  <c r="J55" i="65" l="1"/>
  <c r="U25" i="65"/>
  <c r="T51" i="65"/>
  <c r="J56" i="65" s="1"/>
  <c r="T39" i="65"/>
  <c r="U39" i="65" s="1"/>
  <c r="U38" i="65"/>
  <c r="U51" i="65" s="1"/>
  <c r="M39" i="64"/>
  <c r="G39" i="64"/>
  <c r="N19" i="64"/>
  <c r="U19" i="64" s="1"/>
  <c r="U44" i="64"/>
  <c r="S39" i="64"/>
  <c r="H50" i="64"/>
  <c r="Q51" i="64"/>
  <c r="E39" i="64"/>
  <c r="J51" i="64"/>
  <c r="J54" i="64" s="1"/>
  <c r="S25" i="64"/>
  <c r="C39" i="64"/>
  <c r="Q39" i="64"/>
  <c r="J39" i="64"/>
  <c r="S51" i="64"/>
  <c r="K39" i="64"/>
  <c r="G51" i="64"/>
  <c r="M51" i="64"/>
  <c r="M25" i="64"/>
  <c r="N49" i="64"/>
  <c r="N50" i="64" s="1"/>
  <c r="O39" i="64"/>
  <c r="U40" i="64"/>
  <c r="U34" i="64"/>
  <c r="T38" i="64"/>
  <c r="H51" i="64"/>
  <c r="N39" i="64"/>
  <c r="E51" i="64"/>
  <c r="T50" i="64"/>
  <c r="T33" i="64"/>
  <c r="U33" i="64" s="1"/>
  <c r="U29" i="64"/>
  <c r="T24" i="64"/>
  <c r="U24" i="64" s="1"/>
  <c r="U20" i="64"/>
  <c r="U45" i="64"/>
  <c r="T28" i="64"/>
  <c r="U28" i="64" s="1"/>
  <c r="U26" i="64"/>
  <c r="U30" i="64"/>
  <c r="C51" i="64"/>
  <c r="I51" i="64"/>
  <c r="O25" i="64"/>
  <c r="O51" i="64"/>
  <c r="Q25" i="64"/>
  <c r="C25" i="64"/>
  <c r="I25" i="64"/>
  <c r="H25" i="64"/>
  <c r="H66" i="63"/>
  <c r="J56" i="63"/>
  <c r="J55" i="63"/>
  <c r="J54" i="63"/>
  <c r="M59" i="63" s="1"/>
  <c r="H66" i="62"/>
  <c r="J56" i="62"/>
  <c r="J55" i="62"/>
  <c r="J54" i="62"/>
  <c r="M59" i="62" s="1"/>
  <c r="J55" i="64" l="1"/>
  <c r="T25" i="64"/>
  <c r="U25" i="64" s="1"/>
  <c r="N25" i="64"/>
  <c r="T51" i="64"/>
  <c r="U49" i="64"/>
  <c r="U50" i="64" s="1"/>
  <c r="N51" i="64"/>
  <c r="U38" i="64"/>
  <c r="T39" i="64"/>
  <c r="U39" i="64" s="1"/>
  <c r="H62" i="62"/>
  <c r="M62" i="62"/>
  <c r="M61" i="63"/>
  <c r="M56" i="63"/>
  <c r="H62" i="63"/>
  <c r="M58" i="63"/>
  <c r="M62" i="63"/>
  <c r="M61" i="62"/>
  <c r="M56" i="62"/>
  <c r="M58" i="62"/>
  <c r="H66" i="61"/>
  <c r="J56" i="61"/>
  <c r="J55" i="61"/>
  <c r="J54" i="61"/>
  <c r="M62" i="61" s="1"/>
  <c r="J56" i="64" l="1"/>
  <c r="U51" i="64"/>
  <c r="M56" i="61"/>
  <c r="M59" i="61"/>
  <c r="H62" i="61"/>
  <c r="M61" i="61"/>
  <c r="M58" i="61"/>
  <c r="H66" i="60"/>
  <c r="J56" i="60"/>
  <c r="J55" i="60"/>
  <c r="J54" i="60"/>
  <c r="M62" i="60" s="1"/>
  <c r="M59" i="60" l="1"/>
  <c r="H62" i="60"/>
  <c r="M61" i="60"/>
  <c r="M56" i="60"/>
  <c r="M58" i="60"/>
  <c r="H66" i="59"/>
  <c r="J54" i="59"/>
  <c r="J56" i="59"/>
  <c r="J55" i="59"/>
  <c r="M61" i="59" l="1"/>
  <c r="M59" i="59"/>
  <c r="M62" i="59"/>
  <c r="M58" i="59"/>
  <c r="H62" i="59"/>
  <c r="M56" i="59"/>
  <c r="D51" i="58"/>
  <c r="E51" i="58"/>
  <c r="F51" i="58"/>
  <c r="G51" i="58"/>
  <c r="H51" i="58"/>
  <c r="I51" i="58"/>
  <c r="J51" i="58"/>
  <c r="K51" i="58"/>
  <c r="L51" i="58"/>
  <c r="M51" i="58"/>
  <c r="N51" i="58"/>
  <c r="O51" i="58"/>
  <c r="P51" i="58"/>
  <c r="Q51" i="58"/>
  <c r="R51" i="58"/>
  <c r="S51" i="58"/>
  <c r="T51" i="58"/>
  <c r="U51" i="58"/>
  <c r="C51" i="58"/>
  <c r="H66" i="58" l="1"/>
  <c r="M56" i="58"/>
  <c r="J56" i="58"/>
  <c r="J55" i="58"/>
  <c r="J54" i="58"/>
  <c r="M62" i="58" s="1"/>
  <c r="M59" i="58" l="1"/>
  <c r="H62" i="58"/>
  <c r="M61" i="58"/>
  <c r="M58" i="58"/>
  <c r="H66" i="57"/>
  <c r="J56" i="57"/>
  <c r="J55" i="57"/>
  <c r="J54" i="57"/>
  <c r="M62" i="57" s="1"/>
  <c r="M61" i="57" l="1"/>
  <c r="M59" i="57"/>
  <c r="M56" i="57"/>
  <c r="H62" i="57"/>
  <c r="M58" i="57"/>
  <c r="H66" i="56"/>
  <c r="J56" i="56"/>
  <c r="J55" i="56"/>
  <c r="J54" i="56"/>
  <c r="M62" i="56" s="1"/>
  <c r="M56" i="56" l="1"/>
  <c r="H62" i="56"/>
  <c r="M59" i="56"/>
  <c r="M61" i="56"/>
  <c r="M58" i="56"/>
  <c r="H66" i="55"/>
  <c r="J56" i="55"/>
  <c r="J55" i="55"/>
  <c r="J54" i="55"/>
  <c r="M62" i="55" s="1"/>
  <c r="M56" i="55" l="1"/>
  <c r="M59" i="55"/>
  <c r="H62" i="55"/>
  <c r="M61" i="55"/>
  <c r="M58" i="55"/>
  <c r="H66" i="54"/>
  <c r="M59" i="54"/>
  <c r="J56" i="54"/>
  <c r="J55" i="54"/>
  <c r="J54" i="54"/>
  <c r="M62" i="54" s="1"/>
  <c r="M61" i="54" l="1"/>
  <c r="M56" i="54"/>
  <c r="H62" i="54"/>
  <c r="M58" i="54"/>
  <c r="O20" i="43" l="1"/>
  <c r="K20" i="43"/>
  <c r="J20" i="43"/>
  <c r="N20" i="43"/>
  <c r="G20" i="43"/>
  <c r="F20" i="43"/>
  <c r="J19" i="43" l="1"/>
  <c r="K18" i="43"/>
  <c r="J18" i="43"/>
  <c r="G18" i="43"/>
  <c r="F18" i="43"/>
  <c r="O19" i="43"/>
  <c r="N19" i="43"/>
  <c r="G19" i="43"/>
  <c r="F19" i="43"/>
  <c r="N18" i="43" l="1"/>
  <c r="F17" i="43" l="1"/>
  <c r="O27" i="43"/>
  <c r="K27" i="43"/>
  <c r="G27" i="43"/>
  <c r="O26" i="43"/>
  <c r="K26" i="43"/>
  <c r="G26" i="43"/>
  <c r="O25" i="43"/>
  <c r="K25" i="43"/>
  <c r="G25" i="43"/>
  <c r="O24" i="43"/>
  <c r="K24" i="43"/>
  <c r="G24" i="43"/>
  <c r="O23" i="43"/>
  <c r="K23" i="43"/>
  <c r="G23" i="43"/>
  <c r="O22" i="43"/>
  <c r="K22" i="43"/>
  <c r="G22" i="43"/>
  <c r="O21" i="43"/>
  <c r="K21" i="43"/>
  <c r="G21" i="43"/>
  <c r="K19" i="43"/>
  <c r="O18" i="43"/>
  <c r="O17" i="43"/>
  <c r="O16" i="43"/>
  <c r="K16" i="43"/>
  <c r="G16" i="43"/>
  <c r="J17" i="43" l="1"/>
  <c r="G17" i="43"/>
  <c r="G28" i="43" s="1"/>
  <c r="K17" i="43"/>
  <c r="K28" i="43" s="1"/>
  <c r="O28" i="43"/>
  <c r="G32" i="43" l="1"/>
  <c r="L15" i="43" l="1"/>
  <c r="F16" i="43"/>
  <c r="H15" i="43"/>
  <c r="P15" i="43" l="1"/>
  <c r="J16" i="43"/>
  <c r="H16" i="43"/>
  <c r="N17" i="43"/>
  <c r="N16" i="43" l="1"/>
  <c r="F28" i="43"/>
  <c r="H32" i="43" l="1"/>
  <c r="H17" i="43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J28" i="43"/>
  <c r="L16" i="43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N28" i="43"/>
  <c r="P32" i="43" s="1"/>
  <c r="P16" i="43"/>
  <c r="P17" i="43" s="1"/>
  <c r="P18" i="43" s="1"/>
  <c r="P19" i="43" s="1"/>
  <c r="P20" i="43" s="1"/>
  <c r="P21" i="43" s="1"/>
  <c r="P22" i="43" s="1"/>
  <c r="P23" i="43" s="1"/>
  <c r="P24" i="43" s="1"/>
  <c r="P25" i="43" s="1"/>
  <c r="P26" i="43" s="1"/>
  <c r="P27" i="43" s="1"/>
  <c r="F32" i="43" l="1"/>
  <c r="F37" i="43" s="1"/>
  <c r="L32" i="43"/>
  <c r="H37" i="43" s="1"/>
  <c r="I72" i="14" l="1"/>
  <c r="I71" i="14"/>
  <c r="H68" i="14"/>
  <c r="N60" i="14"/>
  <c r="G60" i="14"/>
  <c r="N58" i="14"/>
  <c r="J58" i="14"/>
  <c r="R53" i="14"/>
  <c r="K53" i="14"/>
  <c r="H53" i="14"/>
  <c r="E53" i="14"/>
  <c r="U52" i="14"/>
  <c r="T52" i="14"/>
  <c r="R52" i="14"/>
  <c r="N52" i="14"/>
  <c r="M52" i="14"/>
  <c r="K52" i="14"/>
  <c r="H52" i="14"/>
  <c r="G52" i="14"/>
  <c r="E52" i="14"/>
  <c r="U51" i="14"/>
  <c r="T51" i="14"/>
  <c r="R51" i="14"/>
  <c r="N51" i="14"/>
  <c r="M51" i="14"/>
  <c r="K51" i="14"/>
  <c r="H51" i="14"/>
  <c r="G51" i="14"/>
  <c r="E51" i="14"/>
  <c r="S48" i="14"/>
  <c r="T48" i="14" s="1"/>
  <c r="Q48" i="14"/>
  <c r="U48" i="14" s="1"/>
  <c r="P48" i="14"/>
  <c r="L48" i="14"/>
  <c r="M48" i="14" s="1"/>
  <c r="K48" i="14"/>
  <c r="J48" i="14"/>
  <c r="I48" i="14"/>
  <c r="F48" i="14"/>
  <c r="G48" i="14" s="1"/>
  <c r="E48" i="14"/>
  <c r="D48" i="14"/>
  <c r="U47" i="14"/>
  <c r="T47" i="14"/>
  <c r="R47" i="14"/>
  <c r="O47" i="14"/>
  <c r="M47" i="14"/>
  <c r="N47" i="14" s="1"/>
  <c r="K47" i="14"/>
  <c r="H47" i="14"/>
  <c r="V47" i="14" s="1"/>
  <c r="G47" i="14"/>
  <c r="E47" i="14"/>
  <c r="U46" i="14"/>
  <c r="T46" i="14"/>
  <c r="R46" i="14"/>
  <c r="O46" i="14"/>
  <c r="N46" i="14"/>
  <c r="M46" i="14"/>
  <c r="K46" i="14"/>
  <c r="H46" i="14"/>
  <c r="G46" i="14"/>
  <c r="E46" i="14"/>
  <c r="U45" i="14"/>
  <c r="T45" i="14"/>
  <c r="R45" i="14"/>
  <c r="O45" i="14"/>
  <c r="O48" i="14" s="1"/>
  <c r="M45" i="14"/>
  <c r="N45" i="14" s="1"/>
  <c r="K45" i="14"/>
  <c r="H45" i="14"/>
  <c r="G45" i="14"/>
  <c r="E45" i="14"/>
  <c r="U44" i="14"/>
  <c r="T44" i="14"/>
  <c r="R44" i="14"/>
  <c r="O44" i="14"/>
  <c r="M44" i="14"/>
  <c r="N44" i="14" s="1"/>
  <c r="K44" i="14"/>
  <c r="H44" i="14"/>
  <c r="G44" i="14"/>
  <c r="E44" i="14"/>
  <c r="S43" i="14"/>
  <c r="T43" i="14" s="1"/>
  <c r="Q43" i="14"/>
  <c r="Q49" i="14" s="1"/>
  <c r="P43" i="14"/>
  <c r="P49" i="14" s="1"/>
  <c r="L43" i="14"/>
  <c r="L49" i="14" s="1"/>
  <c r="J43" i="14"/>
  <c r="J49" i="14" s="1"/>
  <c r="I43" i="14"/>
  <c r="I49" i="14" s="1"/>
  <c r="G43" i="14"/>
  <c r="F43" i="14"/>
  <c r="D43" i="14"/>
  <c r="H43" i="14" s="1"/>
  <c r="U42" i="14"/>
  <c r="T42" i="14"/>
  <c r="R42" i="14"/>
  <c r="M42" i="14"/>
  <c r="N42" i="14" s="1"/>
  <c r="K42" i="14"/>
  <c r="H42" i="14"/>
  <c r="G42" i="14"/>
  <c r="E42" i="14"/>
  <c r="U41" i="14"/>
  <c r="T41" i="14"/>
  <c r="R41" i="14"/>
  <c r="O41" i="14"/>
  <c r="M41" i="14"/>
  <c r="N41" i="14" s="1"/>
  <c r="K41" i="14"/>
  <c r="H41" i="14"/>
  <c r="G41" i="14"/>
  <c r="E41" i="14"/>
  <c r="U40" i="14"/>
  <c r="T40" i="14"/>
  <c r="R40" i="14"/>
  <c r="O40" i="14"/>
  <c r="M40" i="14"/>
  <c r="N40" i="14" s="1"/>
  <c r="K40" i="14"/>
  <c r="H40" i="14"/>
  <c r="V40" i="14" s="1"/>
  <c r="G40" i="14"/>
  <c r="E40" i="14"/>
  <c r="U39" i="14"/>
  <c r="T39" i="14"/>
  <c r="R39" i="14"/>
  <c r="O39" i="14"/>
  <c r="M39" i="14"/>
  <c r="N39" i="14" s="1"/>
  <c r="K39" i="14"/>
  <c r="H39" i="14"/>
  <c r="G39" i="14"/>
  <c r="E39" i="14"/>
  <c r="T37" i="14"/>
  <c r="S37" i="14"/>
  <c r="Q37" i="14"/>
  <c r="U37" i="14" s="1"/>
  <c r="P37" i="14"/>
  <c r="L37" i="14"/>
  <c r="M37" i="14" s="1"/>
  <c r="J37" i="14"/>
  <c r="K37" i="14" s="1"/>
  <c r="I37" i="14"/>
  <c r="G37" i="14"/>
  <c r="F37" i="14"/>
  <c r="D37" i="14"/>
  <c r="E37" i="14" s="1"/>
  <c r="U36" i="14"/>
  <c r="T36" i="14"/>
  <c r="R36" i="14"/>
  <c r="O36" i="14"/>
  <c r="M36" i="14"/>
  <c r="N36" i="14" s="1"/>
  <c r="K36" i="14"/>
  <c r="H36" i="14"/>
  <c r="G36" i="14"/>
  <c r="E36" i="14"/>
  <c r="U35" i="14"/>
  <c r="T35" i="14"/>
  <c r="R35" i="14"/>
  <c r="O35" i="14"/>
  <c r="N35" i="14"/>
  <c r="M35" i="14"/>
  <c r="K35" i="14"/>
  <c r="H35" i="14"/>
  <c r="V35" i="14" s="1"/>
  <c r="G35" i="14"/>
  <c r="E35" i="14"/>
  <c r="U34" i="14"/>
  <c r="T34" i="14"/>
  <c r="R34" i="14"/>
  <c r="O34" i="14"/>
  <c r="M34" i="14"/>
  <c r="N34" i="14" s="1"/>
  <c r="K34" i="14"/>
  <c r="H34" i="14"/>
  <c r="G34" i="14"/>
  <c r="E34" i="14"/>
  <c r="U33" i="14"/>
  <c r="T33" i="14"/>
  <c r="R33" i="14"/>
  <c r="O33" i="14"/>
  <c r="M33" i="14"/>
  <c r="N33" i="14" s="1"/>
  <c r="K33" i="14"/>
  <c r="H33" i="14"/>
  <c r="G33" i="14"/>
  <c r="E33" i="14"/>
  <c r="S32" i="14"/>
  <c r="T32" i="14" s="1"/>
  <c r="Q32" i="14"/>
  <c r="U32" i="14" s="1"/>
  <c r="P32" i="14"/>
  <c r="L32" i="14"/>
  <c r="M32" i="14" s="1"/>
  <c r="J32" i="14"/>
  <c r="I32" i="14"/>
  <c r="F32" i="14"/>
  <c r="G32" i="14" s="1"/>
  <c r="D32" i="14"/>
  <c r="H32" i="14" s="1"/>
  <c r="U31" i="14"/>
  <c r="T31" i="14"/>
  <c r="R31" i="14"/>
  <c r="O31" i="14"/>
  <c r="O32" i="14" s="1"/>
  <c r="N31" i="14"/>
  <c r="M31" i="14"/>
  <c r="K31" i="14"/>
  <c r="H31" i="14"/>
  <c r="V31" i="14" s="1"/>
  <c r="G31" i="14"/>
  <c r="E31" i="14"/>
  <c r="U30" i="14"/>
  <c r="T30" i="14"/>
  <c r="R30" i="14"/>
  <c r="M30" i="14"/>
  <c r="N30" i="14" s="1"/>
  <c r="K30" i="14"/>
  <c r="H30" i="14"/>
  <c r="G30" i="14"/>
  <c r="E30" i="14"/>
  <c r="U29" i="14"/>
  <c r="T29" i="14"/>
  <c r="R29" i="14"/>
  <c r="M29" i="14"/>
  <c r="N29" i="14" s="1"/>
  <c r="K29" i="14"/>
  <c r="H29" i="14"/>
  <c r="G29" i="14"/>
  <c r="E29" i="14"/>
  <c r="U28" i="14"/>
  <c r="T28" i="14"/>
  <c r="R28" i="14"/>
  <c r="O28" i="14"/>
  <c r="N28" i="14"/>
  <c r="M28" i="14"/>
  <c r="K28" i="14"/>
  <c r="H28" i="14"/>
  <c r="G28" i="14"/>
  <c r="E28" i="14"/>
  <c r="S27" i="14"/>
  <c r="T27" i="14" s="1"/>
  <c r="Q27" i="14"/>
  <c r="U27" i="14" s="1"/>
  <c r="P27" i="14"/>
  <c r="L27" i="14"/>
  <c r="M27" i="14" s="1"/>
  <c r="J27" i="14"/>
  <c r="N27" i="14" s="1"/>
  <c r="I27" i="14"/>
  <c r="F27" i="14"/>
  <c r="G27" i="14" s="1"/>
  <c r="D27" i="14"/>
  <c r="E27" i="14" s="1"/>
  <c r="U26" i="14"/>
  <c r="T26" i="14"/>
  <c r="R26" i="14"/>
  <c r="O26" i="14"/>
  <c r="O27" i="14" s="1"/>
  <c r="M26" i="14"/>
  <c r="N26" i="14" s="1"/>
  <c r="K26" i="14"/>
  <c r="H26" i="14"/>
  <c r="G26" i="14"/>
  <c r="E26" i="14"/>
  <c r="U25" i="14"/>
  <c r="T25" i="14"/>
  <c r="R25" i="14"/>
  <c r="O25" i="14"/>
  <c r="M25" i="14"/>
  <c r="N25" i="14" s="1"/>
  <c r="K25" i="14"/>
  <c r="H25" i="14"/>
  <c r="G25" i="14"/>
  <c r="E25" i="14"/>
  <c r="S23" i="14"/>
  <c r="T23" i="14" s="1"/>
  <c r="Q23" i="14"/>
  <c r="U23" i="14" s="1"/>
  <c r="P23" i="14"/>
  <c r="L23" i="14"/>
  <c r="M23" i="14" s="1"/>
  <c r="J23" i="14"/>
  <c r="N23" i="14" s="1"/>
  <c r="I23" i="14"/>
  <c r="F23" i="14"/>
  <c r="G23" i="14" s="1"/>
  <c r="D23" i="14"/>
  <c r="E23" i="14" s="1"/>
  <c r="U22" i="14"/>
  <c r="T22" i="14"/>
  <c r="R22" i="14"/>
  <c r="O22" i="14"/>
  <c r="M22" i="14"/>
  <c r="N22" i="14" s="1"/>
  <c r="K22" i="14"/>
  <c r="H22" i="14"/>
  <c r="G22" i="14"/>
  <c r="E22" i="14"/>
  <c r="U21" i="14"/>
  <c r="T21" i="14"/>
  <c r="R21" i="14"/>
  <c r="O21" i="14"/>
  <c r="M21" i="14"/>
  <c r="N21" i="14" s="1"/>
  <c r="K21" i="14"/>
  <c r="H21" i="14"/>
  <c r="G21" i="14"/>
  <c r="E21" i="14"/>
  <c r="U20" i="14"/>
  <c r="T20" i="14"/>
  <c r="R20" i="14"/>
  <c r="O20" i="14"/>
  <c r="N20" i="14"/>
  <c r="M20" i="14"/>
  <c r="K20" i="14"/>
  <c r="H20" i="14"/>
  <c r="G20" i="14"/>
  <c r="E20" i="14"/>
  <c r="S19" i="14"/>
  <c r="T19" i="14" s="1"/>
  <c r="Q19" i="14"/>
  <c r="U19" i="14" s="1"/>
  <c r="P19" i="14"/>
  <c r="L19" i="14"/>
  <c r="M19" i="14" s="1"/>
  <c r="J19" i="14"/>
  <c r="N19" i="14" s="1"/>
  <c r="I19" i="14"/>
  <c r="F19" i="14"/>
  <c r="F24" i="14" s="1"/>
  <c r="G24" i="14" s="1"/>
  <c r="D19" i="14"/>
  <c r="E19" i="14" s="1"/>
  <c r="U18" i="14"/>
  <c r="T18" i="14"/>
  <c r="R18" i="14"/>
  <c r="O18" i="14"/>
  <c r="M18" i="14"/>
  <c r="N18" i="14" s="1"/>
  <c r="K18" i="14"/>
  <c r="H18" i="14"/>
  <c r="G18" i="14"/>
  <c r="E18" i="14"/>
  <c r="U17" i="14"/>
  <c r="T17" i="14"/>
  <c r="R17" i="14"/>
  <c r="O17" i="14"/>
  <c r="M17" i="14"/>
  <c r="N17" i="14" s="1"/>
  <c r="K17" i="14"/>
  <c r="H17" i="14"/>
  <c r="G17" i="14"/>
  <c r="E17" i="14"/>
  <c r="U16" i="14"/>
  <c r="T16" i="14"/>
  <c r="R16" i="14"/>
  <c r="O16" i="14"/>
  <c r="N16" i="14"/>
  <c r="M16" i="14"/>
  <c r="K16" i="14"/>
  <c r="H16" i="14"/>
  <c r="G16" i="14"/>
  <c r="E16" i="14"/>
  <c r="S15" i="14"/>
  <c r="T15" i="14" s="1"/>
  <c r="Q15" i="14"/>
  <c r="U15" i="14" s="1"/>
  <c r="P15" i="14"/>
  <c r="L15" i="14"/>
  <c r="M15" i="14" s="1"/>
  <c r="J15" i="14"/>
  <c r="N15" i="14" s="1"/>
  <c r="I15" i="14"/>
  <c r="F15" i="14"/>
  <c r="G15" i="14" s="1"/>
  <c r="D15" i="14"/>
  <c r="E15" i="14" s="1"/>
  <c r="U14" i="14"/>
  <c r="T14" i="14"/>
  <c r="R14" i="14"/>
  <c r="O14" i="14"/>
  <c r="O15" i="14" s="1"/>
  <c r="M14" i="14"/>
  <c r="N14" i="14" s="1"/>
  <c r="K14" i="14"/>
  <c r="H14" i="14"/>
  <c r="G14" i="14"/>
  <c r="E14" i="14"/>
  <c r="U13" i="14"/>
  <c r="T13" i="14"/>
  <c r="R13" i="14"/>
  <c r="O13" i="14"/>
  <c r="M13" i="14"/>
  <c r="N13" i="14" s="1"/>
  <c r="K13" i="14"/>
  <c r="H13" i="14"/>
  <c r="G13" i="14"/>
  <c r="E13" i="14"/>
  <c r="U12" i="14"/>
  <c r="T12" i="14"/>
  <c r="R12" i="14"/>
  <c r="O12" i="14"/>
  <c r="N12" i="14"/>
  <c r="M12" i="14"/>
  <c r="K12" i="14"/>
  <c r="H12" i="14"/>
  <c r="G12" i="14"/>
  <c r="E12" i="14"/>
  <c r="S11" i="14"/>
  <c r="T11" i="14" s="1"/>
  <c r="Q11" i="14"/>
  <c r="P11" i="14"/>
  <c r="L11" i="14"/>
  <c r="M11" i="14" s="1"/>
  <c r="J11" i="14"/>
  <c r="K11" i="14" s="1"/>
  <c r="I11" i="14"/>
  <c r="G11" i="14"/>
  <c r="F11" i="14"/>
  <c r="D11" i="14"/>
  <c r="E11" i="14" s="1"/>
  <c r="U10" i="14"/>
  <c r="T10" i="14"/>
  <c r="R10" i="14"/>
  <c r="O10" i="14"/>
  <c r="M10" i="14"/>
  <c r="N10" i="14" s="1"/>
  <c r="K10" i="14"/>
  <c r="H10" i="14"/>
  <c r="G10" i="14"/>
  <c r="E10" i="14"/>
  <c r="U9" i="14"/>
  <c r="T9" i="14"/>
  <c r="R9" i="14"/>
  <c r="O9" i="14"/>
  <c r="N9" i="14"/>
  <c r="M9" i="14"/>
  <c r="K9" i="14"/>
  <c r="H9" i="14"/>
  <c r="V9" i="14" s="1"/>
  <c r="G9" i="14"/>
  <c r="E9" i="14"/>
  <c r="U8" i="14"/>
  <c r="T8" i="14"/>
  <c r="R8" i="14"/>
  <c r="M8" i="14"/>
  <c r="N8" i="14" s="1"/>
  <c r="K8" i="14"/>
  <c r="H8" i="14"/>
  <c r="G8" i="14"/>
  <c r="E8" i="14"/>
  <c r="U7" i="14"/>
  <c r="T7" i="14"/>
  <c r="R7" i="14"/>
  <c r="O7" i="14"/>
  <c r="M7" i="14"/>
  <c r="N7" i="14" s="1"/>
  <c r="V7" i="14" s="1"/>
  <c r="V11" i="14" s="1"/>
  <c r="K7" i="14"/>
  <c r="H7" i="14"/>
  <c r="G7" i="14"/>
  <c r="E7" i="14"/>
  <c r="F50" i="19"/>
  <c r="H50" i="19" s="1"/>
  <c r="F49" i="19"/>
  <c r="H49" i="19" s="1"/>
  <c r="F48" i="19"/>
  <c r="H48" i="19" s="1"/>
  <c r="F47" i="19"/>
  <c r="H47" i="19" s="1"/>
  <c r="F46" i="19"/>
  <c r="H46" i="19" s="1"/>
  <c r="C46" i="19"/>
  <c r="C47" i="19" s="1"/>
  <c r="C48" i="19" s="1"/>
  <c r="H45" i="19"/>
  <c r="F45" i="19"/>
  <c r="F44" i="19"/>
  <c r="H44" i="19" s="1"/>
  <c r="F43" i="19"/>
  <c r="H43" i="19" s="1"/>
  <c r="F42" i="19"/>
  <c r="H42" i="19" s="1"/>
  <c r="F41" i="19"/>
  <c r="H41" i="19" s="1"/>
  <c r="F40" i="19"/>
  <c r="H40" i="19" s="1"/>
  <c r="H39" i="19"/>
  <c r="F39" i="19"/>
  <c r="F38" i="19"/>
  <c r="H38" i="19" s="1"/>
  <c r="H37" i="19"/>
  <c r="F37" i="19"/>
  <c r="F36" i="19"/>
  <c r="H36" i="19" s="1"/>
  <c r="F35" i="19"/>
  <c r="H35" i="19" s="1"/>
  <c r="F34" i="19"/>
  <c r="H34" i="19" s="1"/>
  <c r="F33" i="19"/>
  <c r="H33" i="19" s="1"/>
  <c r="F32" i="19"/>
  <c r="H32" i="19" s="1"/>
  <c r="H31" i="19"/>
  <c r="F31" i="19"/>
  <c r="F30" i="19"/>
  <c r="H30" i="19" s="1"/>
  <c r="H29" i="19"/>
  <c r="F29" i="19"/>
  <c r="F28" i="19"/>
  <c r="H28" i="19" s="1"/>
  <c r="F27" i="19"/>
  <c r="H27" i="19" s="1"/>
  <c r="F26" i="19"/>
  <c r="H26" i="19" s="1"/>
  <c r="F25" i="19"/>
  <c r="H25" i="19" s="1"/>
  <c r="F24" i="19"/>
  <c r="H24" i="19" s="1"/>
  <c r="H23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I73" i="18"/>
  <c r="I72" i="18"/>
  <c r="H69" i="18"/>
  <c r="N61" i="18"/>
  <c r="G61" i="18"/>
  <c r="N58" i="18"/>
  <c r="J58" i="18"/>
  <c r="M57" i="18"/>
  <c r="N55" i="18"/>
  <c r="Q52" i="18"/>
  <c r="K52" i="18"/>
  <c r="O51" i="18"/>
  <c r="I51" i="18"/>
  <c r="C51" i="18"/>
  <c r="E49" i="18"/>
  <c r="S48" i="18"/>
  <c r="R48" i="18"/>
  <c r="Q48" i="18"/>
  <c r="P48" i="18"/>
  <c r="P49" i="18" s="1"/>
  <c r="O48" i="18"/>
  <c r="M48" i="18"/>
  <c r="L48" i="18"/>
  <c r="L49" i="18" s="1"/>
  <c r="K48" i="18"/>
  <c r="J48" i="18"/>
  <c r="I48" i="18"/>
  <c r="G48" i="18"/>
  <c r="G49" i="18" s="1"/>
  <c r="F48" i="18"/>
  <c r="E48" i="18"/>
  <c r="D48" i="18"/>
  <c r="C48" i="18"/>
  <c r="T47" i="18"/>
  <c r="N47" i="18"/>
  <c r="H47" i="18"/>
  <c r="T46" i="18"/>
  <c r="T48" i="18" s="1"/>
  <c r="N46" i="18"/>
  <c r="H46" i="18"/>
  <c r="T45" i="18"/>
  <c r="N45" i="18"/>
  <c r="H45" i="18"/>
  <c r="T44" i="18"/>
  <c r="N44" i="18"/>
  <c r="H44" i="18"/>
  <c r="H48" i="18" s="1"/>
  <c r="S43" i="18"/>
  <c r="R43" i="18"/>
  <c r="Q43" i="18"/>
  <c r="P43" i="18"/>
  <c r="M43" i="18"/>
  <c r="M49" i="18" s="1"/>
  <c r="L43" i="18"/>
  <c r="K43" i="18"/>
  <c r="J43" i="18"/>
  <c r="G43" i="18"/>
  <c r="F43" i="18"/>
  <c r="E43" i="18"/>
  <c r="C43" i="18"/>
  <c r="H43" i="18" s="1"/>
  <c r="O42" i="18"/>
  <c r="T42" i="18" s="1"/>
  <c r="I42" i="18"/>
  <c r="N42" i="18" s="1"/>
  <c r="H42" i="18"/>
  <c r="D42" i="18"/>
  <c r="D43" i="18" s="1"/>
  <c r="O41" i="18"/>
  <c r="T41" i="18" s="1"/>
  <c r="I41" i="18"/>
  <c r="N41" i="18" s="1"/>
  <c r="H41" i="18"/>
  <c r="O40" i="18"/>
  <c r="T40" i="18" s="1"/>
  <c r="I40" i="18"/>
  <c r="N40" i="18" s="1"/>
  <c r="H40" i="18"/>
  <c r="O39" i="18"/>
  <c r="T39" i="18" s="1"/>
  <c r="I39" i="18"/>
  <c r="N39" i="18" s="1"/>
  <c r="H39" i="18"/>
  <c r="S37" i="18"/>
  <c r="S38" i="18" s="1"/>
  <c r="R37" i="18"/>
  <c r="Q37" i="18"/>
  <c r="P37" i="18"/>
  <c r="M37" i="18"/>
  <c r="L37" i="18"/>
  <c r="K37" i="18"/>
  <c r="J37" i="18"/>
  <c r="I37" i="18"/>
  <c r="G37" i="18"/>
  <c r="G38" i="18" s="1"/>
  <c r="F37" i="18"/>
  <c r="E37" i="18"/>
  <c r="D37" i="18"/>
  <c r="C37" i="18"/>
  <c r="O36" i="18"/>
  <c r="T36" i="18" s="1"/>
  <c r="N36" i="18"/>
  <c r="H36" i="18"/>
  <c r="O35" i="18"/>
  <c r="T35" i="18" s="1"/>
  <c r="N35" i="18"/>
  <c r="H35" i="18"/>
  <c r="O34" i="18"/>
  <c r="N34" i="18"/>
  <c r="H34" i="18"/>
  <c r="O33" i="18"/>
  <c r="T33" i="18" s="1"/>
  <c r="N33" i="18"/>
  <c r="H33" i="18"/>
  <c r="S32" i="18"/>
  <c r="R32" i="18"/>
  <c r="Q32" i="18"/>
  <c r="P32" i="18"/>
  <c r="O32" i="18"/>
  <c r="M32" i="18"/>
  <c r="L32" i="18"/>
  <c r="K32" i="18"/>
  <c r="J32" i="18"/>
  <c r="I32" i="18"/>
  <c r="N32" i="18" s="1"/>
  <c r="G32" i="18"/>
  <c r="F32" i="18"/>
  <c r="E32" i="18"/>
  <c r="D32" i="18"/>
  <c r="H32" i="18" s="1"/>
  <c r="C32" i="18"/>
  <c r="T31" i="18"/>
  <c r="N31" i="18"/>
  <c r="H31" i="18"/>
  <c r="T30" i="18"/>
  <c r="U30" i="18" s="1"/>
  <c r="N30" i="18"/>
  <c r="H30" i="18"/>
  <c r="T29" i="18"/>
  <c r="U29" i="18" s="1"/>
  <c r="N29" i="18"/>
  <c r="H29" i="18"/>
  <c r="T28" i="18"/>
  <c r="N28" i="18"/>
  <c r="H28" i="18"/>
  <c r="S27" i="18"/>
  <c r="R27" i="18"/>
  <c r="Q27" i="18"/>
  <c r="P27" i="18"/>
  <c r="P38" i="18" s="1"/>
  <c r="O27" i="18"/>
  <c r="M27" i="18"/>
  <c r="L27" i="18"/>
  <c r="L38" i="18" s="1"/>
  <c r="K27" i="18"/>
  <c r="K38" i="18" s="1"/>
  <c r="J27" i="18"/>
  <c r="I27" i="18"/>
  <c r="G27" i="18"/>
  <c r="F27" i="18"/>
  <c r="E27" i="18"/>
  <c r="D27" i="18"/>
  <c r="C27" i="18"/>
  <c r="T26" i="18"/>
  <c r="N26" i="18"/>
  <c r="H26" i="18"/>
  <c r="T25" i="18"/>
  <c r="N25" i="18"/>
  <c r="H25" i="18"/>
  <c r="O24" i="18"/>
  <c r="S23" i="18"/>
  <c r="S24" i="18" s="1"/>
  <c r="R23" i="18"/>
  <c r="R24" i="18" s="1"/>
  <c r="Q23" i="18"/>
  <c r="P23" i="18"/>
  <c r="O23" i="18"/>
  <c r="M23" i="18"/>
  <c r="L23" i="18"/>
  <c r="K23" i="18"/>
  <c r="J23" i="18"/>
  <c r="I23" i="18"/>
  <c r="G23" i="18"/>
  <c r="G24" i="18" s="1"/>
  <c r="F23" i="18"/>
  <c r="E23" i="18"/>
  <c r="D23" i="18"/>
  <c r="C23" i="18"/>
  <c r="T22" i="18"/>
  <c r="N22" i="18"/>
  <c r="H22" i="18"/>
  <c r="U22" i="18" s="1"/>
  <c r="T21" i="18"/>
  <c r="N21" i="18"/>
  <c r="H21" i="18"/>
  <c r="U21" i="18" s="1"/>
  <c r="T20" i="18"/>
  <c r="N20" i="18"/>
  <c r="H20" i="18"/>
  <c r="U20" i="18" s="1"/>
  <c r="S19" i="18"/>
  <c r="R19" i="18"/>
  <c r="Q19" i="18"/>
  <c r="O19" i="18"/>
  <c r="L19" i="18"/>
  <c r="K19" i="18"/>
  <c r="K24" i="18" s="1"/>
  <c r="J19" i="18"/>
  <c r="I19" i="18"/>
  <c r="E19" i="18"/>
  <c r="D19" i="18"/>
  <c r="H19" i="18" s="1"/>
  <c r="C19" i="18"/>
  <c r="T18" i="18"/>
  <c r="N18" i="18"/>
  <c r="U18" i="18" s="1"/>
  <c r="H18" i="18"/>
  <c r="P17" i="18"/>
  <c r="T17" i="18" s="1"/>
  <c r="N17" i="18"/>
  <c r="H17" i="18"/>
  <c r="T16" i="18"/>
  <c r="N16" i="18"/>
  <c r="H16" i="18"/>
  <c r="S15" i="18"/>
  <c r="R15" i="18"/>
  <c r="Q15" i="18"/>
  <c r="O15" i="18"/>
  <c r="M15" i="18"/>
  <c r="L15" i="18"/>
  <c r="K15" i="18"/>
  <c r="J15" i="18"/>
  <c r="G15" i="18"/>
  <c r="F15" i="18"/>
  <c r="E15" i="18"/>
  <c r="D15" i="18"/>
  <c r="T14" i="18"/>
  <c r="I14" i="18"/>
  <c r="I15" i="18" s="1"/>
  <c r="C14" i="18"/>
  <c r="H14" i="18" s="1"/>
  <c r="P13" i="18"/>
  <c r="T13" i="18" s="1"/>
  <c r="N13" i="18"/>
  <c r="C13" i="18"/>
  <c r="C15" i="18" s="1"/>
  <c r="U12" i="18"/>
  <c r="T12" i="18"/>
  <c r="N12" i="18"/>
  <c r="H12" i="18"/>
  <c r="S11" i="18"/>
  <c r="R11" i="18"/>
  <c r="Q11" i="18"/>
  <c r="O11" i="18"/>
  <c r="M11" i="18"/>
  <c r="L11" i="18"/>
  <c r="K11" i="18"/>
  <c r="J11" i="18"/>
  <c r="I11" i="18"/>
  <c r="N11" i="18" s="1"/>
  <c r="G11" i="18"/>
  <c r="F11" i="18"/>
  <c r="E11" i="18"/>
  <c r="D11" i="18"/>
  <c r="D24" i="18" s="1"/>
  <c r="T10" i="18"/>
  <c r="U10" i="18" s="1"/>
  <c r="N10" i="18"/>
  <c r="H10" i="18"/>
  <c r="T9" i="18"/>
  <c r="P9" i="18"/>
  <c r="P11" i="18" s="1"/>
  <c r="T11" i="18" s="1"/>
  <c r="N9" i="18"/>
  <c r="C9" i="18"/>
  <c r="H9" i="18" s="1"/>
  <c r="T8" i="18"/>
  <c r="N8" i="18"/>
  <c r="H8" i="18"/>
  <c r="T7" i="18"/>
  <c r="N7" i="18"/>
  <c r="H7" i="18"/>
  <c r="I21" i="26"/>
  <c r="I20" i="26"/>
  <c r="H17" i="26"/>
  <c r="R11" i="26"/>
  <c r="P11" i="26"/>
  <c r="O11" i="26"/>
  <c r="L11" i="26"/>
  <c r="J11" i="26"/>
  <c r="I11" i="26"/>
  <c r="F11" i="26"/>
  <c r="D11" i="26"/>
  <c r="C11" i="26"/>
  <c r="T10" i="26"/>
  <c r="S10" i="26"/>
  <c r="Q10" i="26"/>
  <c r="N10" i="26"/>
  <c r="M10" i="26"/>
  <c r="K10" i="26"/>
  <c r="H10" i="26"/>
  <c r="G10" i="26"/>
  <c r="E10" i="26"/>
  <c r="T9" i="26"/>
  <c r="S9" i="26"/>
  <c r="Q9" i="26"/>
  <c r="N9" i="26"/>
  <c r="M9" i="26"/>
  <c r="K9" i="26"/>
  <c r="H9" i="26"/>
  <c r="U9" i="26" s="1"/>
  <c r="G9" i="26"/>
  <c r="E9" i="26"/>
  <c r="T8" i="26"/>
  <c r="S8" i="26"/>
  <c r="Q8" i="26"/>
  <c r="N8" i="26"/>
  <c r="M8" i="26"/>
  <c r="K8" i="26"/>
  <c r="H8" i="26"/>
  <c r="G8" i="26"/>
  <c r="E8" i="26"/>
  <c r="T7" i="26"/>
  <c r="S7" i="26"/>
  <c r="Q7" i="26"/>
  <c r="N7" i="26"/>
  <c r="M7" i="26"/>
  <c r="K7" i="26"/>
  <c r="H7" i="26"/>
  <c r="G7" i="26"/>
  <c r="E7" i="26"/>
  <c r="R11" i="25"/>
  <c r="P11" i="25"/>
  <c r="O11" i="25"/>
  <c r="L11" i="25"/>
  <c r="J11" i="25"/>
  <c r="I11" i="25"/>
  <c r="F11" i="25"/>
  <c r="D11" i="25"/>
  <c r="C11" i="25"/>
  <c r="T10" i="25"/>
  <c r="S10" i="25"/>
  <c r="Q10" i="25"/>
  <c r="N10" i="25"/>
  <c r="M10" i="25"/>
  <c r="K10" i="25"/>
  <c r="H10" i="25"/>
  <c r="U10" i="25" s="1"/>
  <c r="G10" i="25"/>
  <c r="E10" i="25"/>
  <c r="T9" i="25"/>
  <c r="S9" i="25"/>
  <c r="Q9" i="25"/>
  <c r="N9" i="25"/>
  <c r="M9" i="25"/>
  <c r="K9" i="25"/>
  <c r="H9" i="25"/>
  <c r="G9" i="25"/>
  <c r="E9" i="25"/>
  <c r="T8" i="25"/>
  <c r="S8" i="25"/>
  <c r="Q8" i="25"/>
  <c r="N8" i="25"/>
  <c r="M8" i="25"/>
  <c r="K8" i="25"/>
  <c r="H8" i="25"/>
  <c r="G8" i="25"/>
  <c r="E8" i="25"/>
  <c r="T7" i="25"/>
  <c r="S7" i="25"/>
  <c r="Q7" i="25"/>
  <c r="N7" i="25"/>
  <c r="M7" i="25"/>
  <c r="K7" i="25"/>
  <c r="H7" i="25"/>
  <c r="G7" i="25"/>
  <c r="E7" i="25"/>
  <c r="I21" i="24"/>
  <c r="I20" i="24"/>
  <c r="H17" i="24"/>
  <c r="R9" i="24"/>
  <c r="P9" i="24"/>
  <c r="O9" i="24"/>
  <c r="T9" i="24" s="1"/>
  <c r="L9" i="24"/>
  <c r="J9" i="24"/>
  <c r="I9" i="24"/>
  <c r="F9" i="24"/>
  <c r="D9" i="24"/>
  <c r="C9" i="24"/>
  <c r="T8" i="24"/>
  <c r="S8" i="24"/>
  <c r="Q8" i="24"/>
  <c r="N8" i="24"/>
  <c r="M8" i="24"/>
  <c r="K8" i="24"/>
  <c r="H8" i="24"/>
  <c r="G8" i="24"/>
  <c r="E8" i="24"/>
  <c r="T7" i="24"/>
  <c r="S7" i="24"/>
  <c r="Q7" i="24"/>
  <c r="N7" i="24"/>
  <c r="M7" i="24"/>
  <c r="K7" i="24"/>
  <c r="H7" i="24"/>
  <c r="G7" i="24"/>
  <c r="E7" i="24"/>
  <c r="I22" i="23"/>
  <c r="I21" i="23"/>
  <c r="C20" i="23"/>
  <c r="R19" i="23"/>
  <c r="P19" i="23"/>
  <c r="O19" i="23"/>
  <c r="L19" i="23"/>
  <c r="J19" i="23"/>
  <c r="I19" i="23"/>
  <c r="F19" i="23"/>
  <c r="D19" i="23"/>
  <c r="C19" i="23"/>
  <c r="T18" i="23"/>
  <c r="S18" i="23"/>
  <c r="Q18" i="23"/>
  <c r="N18" i="23"/>
  <c r="M18" i="23"/>
  <c r="K18" i="23"/>
  <c r="H18" i="23"/>
  <c r="G18" i="23"/>
  <c r="E18" i="23"/>
  <c r="T17" i="23"/>
  <c r="S17" i="23"/>
  <c r="Q17" i="23"/>
  <c r="N17" i="23"/>
  <c r="M17" i="23"/>
  <c r="K17" i="23"/>
  <c r="H17" i="23"/>
  <c r="U17" i="23" s="1"/>
  <c r="G17" i="23"/>
  <c r="E17" i="23"/>
  <c r="T16" i="23"/>
  <c r="S16" i="23"/>
  <c r="Q16" i="23"/>
  <c r="N16" i="23"/>
  <c r="M16" i="23"/>
  <c r="K16" i="23"/>
  <c r="H16" i="23"/>
  <c r="G16" i="23"/>
  <c r="E16" i="23"/>
  <c r="T15" i="23"/>
  <c r="S15" i="23"/>
  <c r="Q15" i="23"/>
  <c r="N15" i="23"/>
  <c r="M15" i="23"/>
  <c r="K15" i="23"/>
  <c r="H15" i="23"/>
  <c r="G15" i="23"/>
  <c r="E15" i="23"/>
  <c r="R14" i="23"/>
  <c r="P14" i="23"/>
  <c r="O14" i="23"/>
  <c r="O20" i="23" s="1"/>
  <c r="L14" i="23"/>
  <c r="J14" i="23"/>
  <c r="I14" i="23"/>
  <c r="F14" i="23"/>
  <c r="D14" i="23"/>
  <c r="C14" i="23"/>
  <c r="T13" i="23"/>
  <c r="S13" i="23"/>
  <c r="Q13" i="23"/>
  <c r="N13" i="23"/>
  <c r="M13" i="23"/>
  <c r="K13" i="23"/>
  <c r="H13" i="23"/>
  <c r="G13" i="23"/>
  <c r="E13" i="23"/>
  <c r="T12" i="23"/>
  <c r="S12" i="23"/>
  <c r="Q12" i="23"/>
  <c r="N12" i="23"/>
  <c r="M12" i="23"/>
  <c r="K12" i="23"/>
  <c r="H12" i="23"/>
  <c r="G12" i="23"/>
  <c r="E12" i="23"/>
  <c r="T11" i="23"/>
  <c r="S11" i="23"/>
  <c r="Q11" i="23"/>
  <c r="N11" i="23"/>
  <c r="U11" i="23" s="1"/>
  <c r="M11" i="23"/>
  <c r="K11" i="23"/>
  <c r="H11" i="23"/>
  <c r="G11" i="23"/>
  <c r="E11" i="23"/>
  <c r="T10" i="23"/>
  <c r="S10" i="23"/>
  <c r="Q10" i="23"/>
  <c r="N10" i="23"/>
  <c r="M10" i="23"/>
  <c r="K10" i="23"/>
  <c r="H10" i="23"/>
  <c r="U10" i="23" s="1"/>
  <c r="G10" i="23"/>
  <c r="E10" i="23"/>
  <c r="R9" i="23"/>
  <c r="P9" i="23"/>
  <c r="T9" i="23" s="1"/>
  <c r="O9" i="23"/>
  <c r="L9" i="23"/>
  <c r="J9" i="23"/>
  <c r="I9" i="23"/>
  <c r="N9" i="23" s="1"/>
  <c r="F9" i="23"/>
  <c r="D9" i="23"/>
  <c r="C9" i="23"/>
  <c r="T8" i="23"/>
  <c r="S8" i="23"/>
  <c r="Q8" i="23"/>
  <c r="N8" i="23"/>
  <c r="M8" i="23"/>
  <c r="K8" i="23"/>
  <c r="H8" i="23"/>
  <c r="G8" i="23"/>
  <c r="E8" i="23"/>
  <c r="T7" i="23"/>
  <c r="S7" i="23"/>
  <c r="Q7" i="23"/>
  <c r="N7" i="23"/>
  <c r="U7" i="23" s="1"/>
  <c r="M7" i="23"/>
  <c r="K7" i="23"/>
  <c r="H7" i="23"/>
  <c r="G7" i="23"/>
  <c r="E7" i="23"/>
  <c r="N14" i="23" l="1"/>
  <c r="P20" i="23"/>
  <c r="T19" i="23"/>
  <c r="U9" i="25"/>
  <c r="U8" i="23"/>
  <c r="H9" i="23"/>
  <c r="U12" i="23"/>
  <c r="U13" i="23"/>
  <c r="I20" i="23"/>
  <c r="U7" i="24"/>
  <c r="U8" i="24"/>
  <c r="N9" i="24"/>
  <c r="T11" i="26"/>
  <c r="U8" i="18"/>
  <c r="U17" i="18"/>
  <c r="N19" i="18"/>
  <c r="F24" i="18"/>
  <c r="U25" i="18"/>
  <c r="U31" i="18"/>
  <c r="T32" i="18"/>
  <c r="F38" i="18"/>
  <c r="Q38" i="18"/>
  <c r="U46" i="18"/>
  <c r="S49" i="18"/>
  <c r="S50" i="18" s="1"/>
  <c r="V8" i="14"/>
  <c r="V10" i="14"/>
  <c r="G19" i="14"/>
  <c r="V30" i="14"/>
  <c r="V34" i="14"/>
  <c r="O37" i="14"/>
  <c r="V36" i="14"/>
  <c r="S38" i="14"/>
  <c r="T38" i="14" s="1"/>
  <c r="V39" i="14"/>
  <c r="V43" i="14" s="1"/>
  <c r="O43" i="14"/>
  <c r="O49" i="14" s="1"/>
  <c r="V42" i="14"/>
  <c r="F49" i="14"/>
  <c r="K43" i="14"/>
  <c r="R43" i="14"/>
  <c r="H48" i="14"/>
  <c r="D20" i="23"/>
  <c r="U18" i="23"/>
  <c r="U7" i="25"/>
  <c r="U10" i="26"/>
  <c r="U7" i="18"/>
  <c r="U16" i="18"/>
  <c r="P19" i="18"/>
  <c r="T19" i="18" s="1"/>
  <c r="H23" i="18"/>
  <c r="Q24" i="18"/>
  <c r="H37" i="18"/>
  <c r="R38" i="18"/>
  <c r="U45" i="18"/>
  <c r="L53" i="18"/>
  <c r="V13" i="14"/>
  <c r="V17" i="14"/>
  <c r="V21" i="14"/>
  <c r="V25" i="14"/>
  <c r="V29" i="14"/>
  <c r="V32" i="14" s="1"/>
  <c r="V45" i="14"/>
  <c r="N48" i="14"/>
  <c r="M24" i="18"/>
  <c r="I38" i="18"/>
  <c r="M38" i="18"/>
  <c r="H49" i="18"/>
  <c r="C49" i="18"/>
  <c r="G50" i="18"/>
  <c r="J24" i="14"/>
  <c r="J38" i="14"/>
  <c r="I38" i="14"/>
  <c r="P38" i="14"/>
  <c r="U15" i="23"/>
  <c r="U16" i="23"/>
  <c r="U8" i="25"/>
  <c r="N11" i="25"/>
  <c r="T11" i="25"/>
  <c r="U7" i="26"/>
  <c r="U8" i="26"/>
  <c r="U9" i="18"/>
  <c r="N15" i="18"/>
  <c r="L24" i="18"/>
  <c r="E24" i="18"/>
  <c r="N23" i="18"/>
  <c r="T23" i="18"/>
  <c r="U26" i="18"/>
  <c r="D38" i="18"/>
  <c r="N27" i="18"/>
  <c r="U28" i="18"/>
  <c r="E38" i="18"/>
  <c r="N37" i="18"/>
  <c r="N38" i="18" s="1"/>
  <c r="C38" i="18"/>
  <c r="Q49" i="18"/>
  <c r="N48" i="18"/>
  <c r="U47" i="18"/>
  <c r="D49" i="18"/>
  <c r="O11" i="14"/>
  <c r="K15" i="14"/>
  <c r="V16" i="14"/>
  <c r="O19" i="14"/>
  <c r="K19" i="14"/>
  <c r="V20" i="14"/>
  <c r="V23" i="14" s="1"/>
  <c r="O23" i="14"/>
  <c r="K23" i="14"/>
  <c r="K27" i="14"/>
  <c r="V28" i="14"/>
  <c r="F38" i="14"/>
  <c r="G38" i="14" s="1"/>
  <c r="K32" i="14"/>
  <c r="R32" i="14"/>
  <c r="V46" i="14"/>
  <c r="V51" i="14"/>
  <c r="L20" i="23"/>
  <c r="M20" i="23" s="1"/>
  <c r="H19" i="23"/>
  <c r="N19" i="23"/>
  <c r="R20" i="23"/>
  <c r="H11" i="25"/>
  <c r="U11" i="25" s="1"/>
  <c r="U33" i="18"/>
  <c r="U39" i="18"/>
  <c r="U40" i="18"/>
  <c r="H11" i="26"/>
  <c r="U42" i="18"/>
  <c r="F20" i="23"/>
  <c r="H20" i="23" s="1"/>
  <c r="O37" i="18"/>
  <c r="U36" i="18"/>
  <c r="U41" i="18"/>
  <c r="U9" i="23"/>
  <c r="H9" i="24"/>
  <c r="U9" i="24" s="1"/>
  <c r="N11" i="26"/>
  <c r="U35" i="18"/>
  <c r="V52" i="14"/>
  <c r="E20" i="23"/>
  <c r="Q20" i="23"/>
  <c r="E9" i="23"/>
  <c r="E9" i="24"/>
  <c r="M9" i="23"/>
  <c r="M9" i="24"/>
  <c r="Q9" i="23"/>
  <c r="Q9" i="24"/>
  <c r="G19" i="23"/>
  <c r="G11" i="25"/>
  <c r="K19" i="23"/>
  <c r="K11" i="25"/>
  <c r="S19" i="23"/>
  <c r="S11" i="25"/>
  <c r="T20" i="23"/>
  <c r="H15" i="18"/>
  <c r="I24" i="18"/>
  <c r="U32" i="18"/>
  <c r="O38" i="18"/>
  <c r="T37" i="18"/>
  <c r="U37" i="18" s="1"/>
  <c r="G11" i="26"/>
  <c r="G14" i="23"/>
  <c r="K11" i="26"/>
  <c r="K14" i="23"/>
  <c r="S11" i="26"/>
  <c r="S14" i="23"/>
  <c r="U19" i="18"/>
  <c r="N24" i="18"/>
  <c r="M50" i="18"/>
  <c r="G9" i="24"/>
  <c r="G9" i="23"/>
  <c r="K9" i="24"/>
  <c r="K9" i="23"/>
  <c r="S9" i="24"/>
  <c r="S9" i="23"/>
  <c r="E11" i="25"/>
  <c r="E19" i="23"/>
  <c r="M11" i="25"/>
  <c r="M19" i="23"/>
  <c r="Q11" i="25"/>
  <c r="Q19" i="23"/>
  <c r="L50" i="18"/>
  <c r="E50" i="18"/>
  <c r="E11" i="26"/>
  <c r="E14" i="23"/>
  <c r="M11" i="26"/>
  <c r="M14" i="23"/>
  <c r="Q11" i="26"/>
  <c r="Q14" i="23"/>
  <c r="U11" i="26"/>
  <c r="U23" i="18"/>
  <c r="Q50" i="18"/>
  <c r="D50" i="18"/>
  <c r="C11" i="18"/>
  <c r="H11" i="18" s="1"/>
  <c r="U11" i="18" s="1"/>
  <c r="H13" i="18"/>
  <c r="U13" i="18" s="1"/>
  <c r="N14" i="18"/>
  <c r="U14" i="18" s="1"/>
  <c r="P15" i="18"/>
  <c r="P24" i="18" s="1"/>
  <c r="P50" i="18" s="1"/>
  <c r="O43" i="18"/>
  <c r="T43" i="18" s="1"/>
  <c r="T49" i="18" s="1"/>
  <c r="N11" i="14"/>
  <c r="O38" i="14"/>
  <c r="F50" i="14"/>
  <c r="G50" i="14" s="1"/>
  <c r="G49" i="14"/>
  <c r="V44" i="14"/>
  <c r="V48" i="14" s="1"/>
  <c r="V49" i="14" s="1"/>
  <c r="H14" i="23"/>
  <c r="T14" i="23"/>
  <c r="J20" i="23"/>
  <c r="N20" i="23" s="1"/>
  <c r="J24" i="18"/>
  <c r="J38" i="18"/>
  <c r="U44" i="18"/>
  <c r="U48" i="18" s="1"/>
  <c r="F49" i="18"/>
  <c r="F50" i="18" s="1"/>
  <c r="J49" i="18"/>
  <c r="R49" i="18"/>
  <c r="R50" i="18" s="1"/>
  <c r="I24" i="14"/>
  <c r="P24" i="14"/>
  <c r="M49" i="14"/>
  <c r="H27" i="18"/>
  <c r="T27" i="18"/>
  <c r="I43" i="18"/>
  <c r="K49" i="18"/>
  <c r="K50" i="18" s="1"/>
  <c r="H11" i="14"/>
  <c r="U11" i="14"/>
  <c r="R11" i="14"/>
  <c r="K38" i="14"/>
  <c r="I50" i="14"/>
  <c r="P50" i="14"/>
  <c r="T34" i="18"/>
  <c r="U34" i="18" s="1"/>
  <c r="V12" i="14"/>
  <c r="V14" i="14"/>
  <c r="V18" i="14"/>
  <c r="V19" i="14" s="1"/>
  <c r="O24" i="14"/>
  <c r="V22" i="14"/>
  <c r="S24" i="14"/>
  <c r="T24" i="14" s="1"/>
  <c r="V26" i="14"/>
  <c r="V27" i="14" s="1"/>
  <c r="V33" i="14"/>
  <c r="V37" i="14" s="1"/>
  <c r="N37" i="14"/>
  <c r="V41" i="14"/>
  <c r="N49" i="14"/>
  <c r="J50" i="14"/>
  <c r="K49" i="14"/>
  <c r="R49" i="14"/>
  <c r="R15" i="14"/>
  <c r="R19" i="14"/>
  <c r="R23" i="14"/>
  <c r="K24" i="14"/>
  <c r="R27" i="14"/>
  <c r="E32" i="14"/>
  <c r="R37" i="14"/>
  <c r="E43" i="14"/>
  <c r="M43" i="14"/>
  <c r="N43" i="14" s="1"/>
  <c r="U43" i="14"/>
  <c r="R48" i="14"/>
  <c r="S49" i="14"/>
  <c r="U49" i="14" s="1"/>
  <c r="D24" i="14"/>
  <c r="L24" i="14"/>
  <c r="M24" i="14" s="1"/>
  <c r="N24" i="14" s="1"/>
  <c r="N32" i="14"/>
  <c r="D38" i="14"/>
  <c r="L38" i="14"/>
  <c r="M38" i="14" s="1"/>
  <c r="N38" i="14" s="1"/>
  <c r="D49" i="14"/>
  <c r="H15" i="14"/>
  <c r="H19" i="14"/>
  <c r="H23" i="14"/>
  <c r="Q24" i="14"/>
  <c r="H27" i="14"/>
  <c r="H37" i="14"/>
  <c r="Q38" i="14"/>
  <c r="Q50" i="14" l="1"/>
  <c r="U19" i="23"/>
  <c r="L50" i="14"/>
  <c r="M50" i="14" s="1"/>
  <c r="O50" i="14"/>
  <c r="U14" i="23"/>
  <c r="R50" i="14"/>
  <c r="E49" i="14"/>
  <c r="H49" i="14"/>
  <c r="D50" i="14"/>
  <c r="E24" i="14"/>
  <c r="H24" i="14"/>
  <c r="U27" i="18"/>
  <c r="U38" i="18" s="1"/>
  <c r="H24" i="18"/>
  <c r="S20" i="23"/>
  <c r="C24" i="18"/>
  <c r="C50" i="18" s="1"/>
  <c r="E38" i="14"/>
  <c r="H38" i="14"/>
  <c r="S50" i="14"/>
  <c r="T50" i="14" s="1"/>
  <c r="T49" i="14"/>
  <c r="K50" i="14"/>
  <c r="N50" i="14"/>
  <c r="V38" i="14"/>
  <c r="V50" i="14" s="1"/>
  <c r="V15" i="14"/>
  <c r="V24" i="14" s="1"/>
  <c r="T15" i="18"/>
  <c r="T24" i="18" s="1"/>
  <c r="K20" i="23"/>
  <c r="J54" i="18"/>
  <c r="H38" i="18"/>
  <c r="H50" i="18" s="1"/>
  <c r="R24" i="14"/>
  <c r="U24" i="14"/>
  <c r="N43" i="18"/>
  <c r="I49" i="18"/>
  <c r="I50" i="18" s="1"/>
  <c r="G20" i="23"/>
  <c r="T38" i="18"/>
  <c r="T50" i="18" s="1"/>
  <c r="R38" i="14"/>
  <c r="U38" i="14"/>
  <c r="J50" i="18"/>
  <c r="J53" i="18" s="1"/>
  <c r="O49" i="18"/>
  <c r="O50" i="18" s="1"/>
  <c r="U15" i="18"/>
  <c r="U24" i="18" s="1"/>
  <c r="U20" i="23" l="1"/>
  <c r="U43" i="18"/>
  <c r="U49" i="18" s="1"/>
  <c r="U50" i="18" s="1"/>
  <c r="N49" i="18"/>
  <c r="N50" i="18" s="1"/>
  <c r="J54" i="14"/>
  <c r="E50" i="14"/>
  <c r="J55" i="14" s="1"/>
  <c r="H50" i="14"/>
  <c r="J55" i="18"/>
  <c r="L57" i="18" s="1"/>
  <c r="U50" i="14"/>
  <c r="J56" i="14" l="1"/>
</calcChain>
</file>

<file path=xl/sharedStrings.xml><?xml version="1.0" encoding="utf-8"?>
<sst xmlns="http://schemas.openxmlformats.org/spreadsheetml/2006/main" count="2708" uniqueCount="159">
  <si>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</si>
  <si>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</si>
  <si>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</si>
  <si>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</si>
  <si>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</si>
  <si>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</si>
  <si>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</si>
  <si>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</si>
  <si>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</si>
  <si>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</si>
  <si>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</si>
  <si>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</si>
  <si>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</si>
  <si>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</si>
  <si>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Shivajinagar</t>
  </si>
  <si>
    <t>Vidhana Soudha</t>
  </si>
  <si>
    <t>East Circle</t>
  </si>
  <si>
    <t>Jayanagar</t>
  </si>
  <si>
    <t>Koramangala</t>
  </si>
  <si>
    <t>HSR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</si>
  <si>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</si>
  <si>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</si>
  <si>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</si>
  <si>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</si>
  <si>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</si>
  <si>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</si>
  <si>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</si>
  <si>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</si>
  <si>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 xml:space="preserve">North Circle </t>
  </si>
  <si>
    <t xml:space="preserve">BMAZ TOTAL </t>
  </si>
  <si>
    <t>Nelamangala</t>
  </si>
  <si>
    <t>Hosakote</t>
  </si>
  <si>
    <t xml:space="preserve">Blore Rural Circle </t>
  </si>
  <si>
    <t xml:space="preserve">Ramnagara </t>
  </si>
  <si>
    <t>Kanakpura</t>
  </si>
  <si>
    <t>Chandapura</t>
  </si>
  <si>
    <t>Ramnagar Circle</t>
  </si>
  <si>
    <t xml:space="preserve">Kolar </t>
  </si>
  <si>
    <t>KGF</t>
  </si>
  <si>
    <t>CB Pura</t>
  </si>
  <si>
    <t>Chintamani</t>
  </si>
  <si>
    <t xml:space="preserve">Kolar Circle </t>
  </si>
  <si>
    <t xml:space="preserve">BRAZ TOTAL </t>
  </si>
  <si>
    <t>Tumkur</t>
  </si>
  <si>
    <t>Tiptur</t>
  </si>
  <si>
    <t>Madhugiri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</si>
  <si>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</si>
  <si>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</si>
  <si>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</si>
  <si>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</si>
  <si>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</si>
  <si>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</si>
  <si>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</si>
  <si>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</si>
  <si>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HT LINES added during the month</t>
  </si>
  <si>
    <t>During the year</t>
  </si>
  <si>
    <t>TOTAL HT LINES EXISTING</t>
  </si>
  <si>
    <t>Assistant General Manager(Op-4)</t>
  </si>
  <si>
    <t>Deputy General Manager(Op-1)</t>
  </si>
  <si>
    <t>BESCOM</t>
  </si>
  <si>
    <t>C/s</t>
  </si>
  <si>
    <t>Chief General Manager,</t>
  </si>
  <si>
    <t>Operations, BESCOM</t>
  </si>
  <si>
    <t>Kunigal</t>
  </si>
  <si>
    <t>Magadi</t>
  </si>
  <si>
    <t>Whitefield</t>
  </si>
  <si>
    <t>Division-wise HT Overhead lines &amp; U.G.Cables added &amp; dismantled during the month of  Februrary 2019  &amp; during the Year 2018-19 in Route KMs</t>
  </si>
  <si>
    <t>Division-wise HT Overhead lines &amp; U.G.Cables added &amp; dismantled during the month of  March 2019  &amp; during the Year 2018-19 in Route KMs</t>
  </si>
  <si>
    <t>bescom ob</t>
  </si>
  <si>
    <t>circle ob</t>
  </si>
  <si>
    <t>Division-wise HT Overhead lines &amp; U.G.Cables added &amp; dismantled during the month of  May  2019  &amp; during the Year 2018-19 in Route KMs</t>
  </si>
  <si>
    <t>Jalahalli</t>
  </si>
  <si>
    <t>Division-wise HT Overhead lines &amp; U.G.Cables added &amp; dismantled during the month of March  2020 &amp; during the Year 2019-20 in Route KMs</t>
  </si>
  <si>
    <t>Over Head</t>
  </si>
  <si>
    <t>UG</t>
  </si>
  <si>
    <t>AB Cable</t>
  </si>
  <si>
    <t>Dimantled</t>
  </si>
  <si>
    <t xml:space="preserve">Added for the month </t>
  </si>
  <si>
    <t>EA¢gÁ£ÀUÀgÀ</t>
  </si>
  <si>
    <t>ªÉÊmï¦üÃ¯ïÙ</t>
  </si>
  <si>
    <t>²ªÁf£ÀUÀgÀ</t>
  </si>
  <si>
    <t>«zsÁ£À¸ËzsÀ</t>
  </si>
  <si>
    <t>¥ÀÆªÀð</t>
  </si>
  <si>
    <t>dAiÀÄ£ÀUÀgÀ</t>
  </si>
  <si>
    <t>PÉÆÃgÀªÀÄAUÀ®</t>
  </si>
  <si>
    <t>JZï.J¸ï.Dgï</t>
  </si>
  <si>
    <t>zÀQët</t>
  </si>
  <si>
    <t>gÁeÁf£ÀUÀgÀ</t>
  </si>
  <si>
    <t>PÉAUÉÃj</t>
  </si>
  <si>
    <t>¥À²ÑªÀÄ</t>
  </si>
  <si>
    <t>ªÀÄ¯ÉèÃ±ÀégÀA</t>
  </si>
  <si>
    <t>ºÉ¨Áâ¼À</t>
  </si>
  <si>
    <t>¦Ãtå</t>
  </si>
  <si>
    <t>eÁ®ºÀ½î</t>
  </si>
  <si>
    <t>GvÀÛgÀ</t>
  </si>
  <si>
    <t>¨ÉA.£ÀUÀgÀ PÉëÃvÀæ ªÀ®AiÀÄ</t>
  </si>
  <si>
    <t>£É®ªÀÄAUÀ®</t>
  </si>
  <si>
    <t>ºÀÉÆ¸ÀPÉÆÃmÉ</t>
  </si>
  <si>
    <t xml:space="preserve">¨ÉA.UÁæ«ÄÃt 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</si>
  <si>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</si>
  <si>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</si>
  <si>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</si>
  <si>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</si>
  <si>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</si>
  <si>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</si>
  <si>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</si>
  <si>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</si>
  <si>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PÀÉÆÃ¯ÁgÀ</t>
  </si>
  <si>
    <t>¨ÉA.UÁæ«ÄÃt ªÀ®AiÀÄ</t>
  </si>
  <si>
    <t>vÀÄªÀÄPÀÆgÀÄ</t>
  </si>
  <si>
    <t>w¥ÀlÆgÀÄ</t>
  </si>
  <si>
    <t xml:space="preserve">ªÀÄzsÀÄVj </t>
  </si>
  <si>
    <t>PÀÄtÂUÀ¯ï</t>
  </si>
  <si>
    <t>zÁªÀtUÉgÉ</t>
  </si>
  <si>
    <t>ºÀjºÀgÀ</t>
  </si>
  <si>
    <t>avÀæzÀÄUÀð</t>
  </si>
  <si>
    <t>»jAiÀÄÆgÀÄ</t>
  </si>
  <si>
    <t>zÀÁªÀtUÉgÉ</t>
  </si>
  <si>
    <t>avÀæzÀÄUÀð ªÀ®AiÀÄ</t>
  </si>
  <si>
    <t>¨É.«.PÀA</t>
  </si>
  <si>
    <t>gÁdgÁeÉÃ±Àéj £ÀUÀgÀ</t>
  </si>
  <si>
    <t>«¨sÁUÀ</t>
  </si>
  <si>
    <t>PÀÀæªÀÄ ¸ÀASÉå</t>
  </si>
  <si>
    <t>¨ÉAUÀ¼ÀÆgÀÄ «zÀÄåvï ¸ÀgÀ§gÁdÄ PÀA¥À¤ ¤AiÀÄ«ÄvÀ</t>
  </si>
  <si>
    <t>wAUÀ¼ÀÄ</t>
  </si>
  <si>
    <t>ªÀµÀð</t>
  </si>
  <si>
    <t>PÀ¼ÀagÀÄªÀ «ªÀgÀUÀ¼ÀÄ</t>
  </si>
  <si>
    <t>¸ÉÃ¥ÀðqÉAiÀiÁVgÀÄªÀ «ªÀgÀUÀ¼ÀÄ</t>
  </si>
  <si>
    <t>MlÄÖ</t>
  </si>
  <si>
    <r>
      <t xml:space="preserve">AB </t>
    </r>
    <r>
      <rPr>
        <b/>
        <sz val="20"/>
        <rFont val="Nudi 01 e"/>
      </rPr>
      <t>PÉÃ§¯ï</t>
    </r>
  </si>
  <si>
    <r>
      <t xml:space="preserve">UG </t>
    </r>
    <r>
      <rPr>
        <b/>
        <sz val="20"/>
        <rFont val="Nudi 01 e"/>
      </rPr>
      <t>PÉÃ§¯ï</t>
    </r>
  </si>
  <si>
    <t xml:space="preserve">OH </t>
  </si>
  <si>
    <r>
      <t xml:space="preserve">ªÀiÁZïð-2021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</si>
  <si>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K¦æ¯ï-2021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</si>
  <si>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ªÉÄÃ-2021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</si>
  <si>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ಜೂನ್-2021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</si>
  <si>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dÄ¯ÉÊ-2021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</si>
  <si>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DUÀ¸ïÖ-2021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</si>
  <si>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¸À¥ÉÖA§gï-2021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</si>
  <si>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CPÉÆÖÃ§gï-2021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</si>
  <si>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£ÀªÉA§gï-2021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</si>
  <si>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r¸ÉA§gï-2021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</si>
  <si>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d£ÀªÀj-2022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</si>
  <si>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ಫೆಬ್ರವರಿ-2022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</si>
  <si>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ªÀiÁZïð-2022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</si>
  <si>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K¦æ¯ï-2022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</si>
  <si>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UG </t>
    </r>
    <r>
      <rPr>
        <b/>
        <sz val="22"/>
        <rFont val="Nudi 01 e"/>
      </rPr>
      <t>PÉÃ§¯ï</t>
    </r>
  </si>
  <si>
    <r>
      <t xml:space="preserve">AB </t>
    </r>
    <r>
      <rPr>
        <b/>
        <sz val="22"/>
        <rFont val="Nudi 01 e"/>
      </rPr>
      <t>PÉÃ§¯ï</t>
    </r>
  </si>
  <si>
    <r>
      <t xml:space="preserve">ªÉÄÃ-2022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</si>
  <si>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dÆ£ï-2022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</si>
  <si>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dÄ¯ÉÊ-2022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</si>
  <si>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DUÀ¸ïÖ-2022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</si>
  <si>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ಸೆಪ್ಟೆಂಬರ್-2022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</si>
  <si>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CPÉÆÖÃ§gï-2022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</si>
  <si>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£ÀªÉA§gï-2022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</si>
  <si>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ಡಿಸೆಂಬರ್-2022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</si>
  <si>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d£ÀªÀj-2023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</si>
  <si>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ಫೆಬ್ರವರಿ-2023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</si>
  <si>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ಮಾರ್ಚ್-2023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</si>
</sst>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Bookman Old Style"/>
      <family val="1"/>
    </font>
    <font>
      <b/>
      <u/>
      <sz val="24"/>
      <name val="Bookman Old Style"/>
      <family val="1"/>
    </font>
    <font>
      <sz val="26"/>
      <name val="Bookman Old Style"/>
      <family val="1"/>
    </font>
    <font>
      <b/>
      <sz val="18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2"/>
      <color theme="1"/>
      <name val="Bookman Old Style"/>
      <family val="1"/>
    </font>
    <font>
      <sz val="16"/>
      <color theme="1"/>
      <name val="Bookman Old Style"/>
      <family val="1"/>
    </font>
    <font>
      <b/>
      <sz val="14"/>
      <name val="Bookman Old Style"/>
      <family val="1"/>
    </font>
    <font>
      <b/>
      <sz val="12"/>
      <color theme="0"/>
      <name val="Bookman Old Style"/>
      <family val="1"/>
    </font>
    <font>
      <b/>
      <sz val="14"/>
      <color theme="0"/>
      <name val="Bookman Old Style"/>
      <family val="1"/>
    </font>
    <font>
      <sz val="14"/>
      <name val="Bookman Old Style"/>
      <family val="1"/>
    </font>
    <font>
      <b/>
      <sz val="8"/>
      <name val="Bookman Old Style"/>
      <family val="1"/>
    </font>
    <font>
      <sz val="10"/>
      <color theme="0"/>
      <name val="Bookman Old Style"/>
      <family val="1"/>
    </font>
    <font>
      <b/>
      <sz val="15"/>
      <color theme="0"/>
      <name val="Bookman Old Style"/>
      <family val="1"/>
    </font>
    <font>
      <b/>
      <sz val="15"/>
      <name val="Bookman Old Style"/>
      <family val="1"/>
    </font>
    <font>
      <b/>
      <sz val="11"/>
      <color theme="0"/>
      <name val="Bookman Old Style"/>
      <family val="1"/>
    </font>
    <font>
      <sz val="16"/>
      <color theme="0"/>
      <name val="Bookman Old Style"/>
      <family val="1"/>
    </font>
    <font>
      <b/>
      <u/>
      <sz val="12"/>
      <name val="Bookman Old Style"/>
      <family val="1"/>
    </font>
    <font>
      <sz val="12"/>
      <color theme="0"/>
      <name val="Bookman Old Style"/>
      <family val="1"/>
    </font>
    <font>
      <b/>
      <sz val="20"/>
      <name val="Bookman Old Style"/>
      <family val="1"/>
    </font>
    <font>
      <b/>
      <u/>
      <sz val="20"/>
      <name val="Bookman Old Style"/>
      <family val="1"/>
    </font>
    <font>
      <sz val="20"/>
      <name val="Bookman Old Style"/>
      <family val="1"/>
    </font>
    <font>
      <sz val="20"/>
      <color theme="1"/>
      <name val="Bookman Old Style"/>
      <family val="1"/>
    </font>
    <font>
      <b/>
      <sz val="20"/>
      <color theme="0"/>
      <name val="Bookman Old Style"/>
      <family val="1"/>
    </font>
    <font>
      <sz val="20"/>
      <color theme="0"/>
      <name val="Bookman Old Style"/>
      <family val="1"/>
    </font>
    <font>
      <sz val="24"/>
      <name val="Bookman Old Style"/>
      <family val="1"/>
    </font>
    <font>
      <sz val="28"/>
      <color theme="0"/>
      <name val="Bookman Old Style"/>
      <family val="1"/>
    </font>
    <font>
      <sz val="28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4"/>
      <color theme="0"/>
      <name val="Bookman Old Style"/>
      <family val="1"/>
    </font>
    <font>
      <b/>
      <sz val="22"/>
      <name val="Bookman Old Style"/>
      <family val="1"/>
    </font>
    <font>
      <sz val="20"/>
      <name val="Calibri"/>
      <family val="2"/>
      <scheme val="minor"/>
    </font>
    <font>
      <sz val="20"/>
      <name val="Nudi 01 e"/>
    </font>
    <font>
      <b/>
      <sz val="20"/>
      <name val="BRH Kannada"/>
    </font>
    <font>
      <b/>
      <sz val="22"/>
      <name val="BRH Kannada"/>
    </font>
    <font>
      <b/>
      <sz val="26"/>
      <name val="BRH Kannada"/>
    </font>
    <font>
      <b/>
      <sz val="20"/>
      <name val="Nudi 01 e"/>
    </font>
    <font>
      <b/>
      <u/>
      <sz val="20"/>
      <name val="Nudi 01 e"/>
    </font>
    <font>
      <b/>
      <sz val="26"/>
      <name val="Nudi 01 e"/>
    </font>
    <font>
      <b/>
      <sz val="26"/>
      <name val="Bookman Old Style"/>
      <family val="1"/>
    </font>
    <font>
      <b/>
      <sz val="28"/>
      <name val="Nudi 01 e"/>
    </font>
    <font>
      <b/>
      <u/>
      <sz val="28"/>
      <name val="Nudi 01 e"/>
    </font>
    <font>
      <b/>
      <sz val="48"/>
      <name val="Nudi 01 e"/>
    </font>
    <font>
      <b/>
      <u/>
      <sz val="48"/>
      <name val="Nudi 01 e"/>
    </font>
    <font>
      <sz val="24"/>
      <color theme="1"/>
      <name val="Bookman Old Style"/>
      <family val="1"/>
    </font>
    <font>
      <b/>
      <sz val="28"/>
      <name val="BRH Kannada"/>
    </font>
    <font>
      <b/>
      <sz val="28"/>
      <name val="Bookman Old Style"/>
      <family val="1"/>
    </font>
    <font>
      <b/>
      <sz val="22"/>
      <name val="Nudi 01 e"/>
    </font>
    <font>
      <b/>
      <sz val="24"/>
      <name val="Nudi 01 e"/>
    </font>
    <font>
      <sz val="24"/>
      <name val="Nudi 01 e"/>
    </font>
    <font>
      <sz val="24"/>
      <name val="Calibri"/>
      <family val="2"/>
      <scheme val="minor"/>
    </font>
    <font>
      <sz val="22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40" fillId="0" borderId="0"/>
    <xf numFmtId="0" fontId="2" fillId="0" borderId="0"/>
    <xf numFmtId="0" fontId="2" fillId="0" borderId="0"/>
    <xf numFmtId="0" fontId="2" fillId="0" borderId="0"/>
  </cellStyleXfs>
  <cellXfs count="360">
    <xf numFmtId="0" fontId="0" fillId="0" borderId="0" xfId="0"/>
    <xf numFmtId="0" fontId="5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wrapText="1"/>
    </xf>
    <xf numFmtId="2" fontId="12" fillId="0" borderId="1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0" fontId="13" fillId="0" borderId="1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left" vertical="top" wrapText="1"/>
    </xf>
    <xf numFmtId="2" fontId="13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left" vertical="top" wrapText="1"/>
    </xf>
    <xf numFmtId="2" fontId="15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wrapText="1"/>
    </xf>
    <xf numFmtId="2" fontId="16" fillId="0" borderId="1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wrapText="1"/>
    </xf>
    <xf numFmtId="0" fontId="11" fillId="0" borderId="1" xfId="1" applyFont="1" applyFill="1" applyBorder="1" applyAlignment="1">
      <alignment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wrapText="1"/>
    </xf>
    <xf numFmtId="2" fontId="20" fillId="0" borderId="0" xfId="1" applyNumberFormat="1" applyFont="1" applyFill="1" applyBorder="1" applyAlignment="1">
      <alignment wrapText="1"/>
    </xf>
    <xf numFmtId="2" fontId="21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 wrapText="1"/>
    </xf>
    <xf numFmtId="2" fontId="22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right" wrapText="1"/>
    </xf>
    <xf numFmtId="2" fontId="14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right" wrapText="1"/>
    </xf>
    <xf numFmtId="164" fontId="25" fillId="0" borderId="0" xfId="1" applyNumberFormat="1" applyFont="1" applyFill="1" applyBorder="1" applyAlignment="1">
      <alignment wrapText="1"/>
    </xf>
    <xf numFmtId="0" fontId="22" fillId="0" borderId="0" xfId="1" applyFont="1" applyFill="1" applyBorder="1" applyAlignment="1">
      <alignment wrapText="1"/>
    </xf>
    <xf numFmtId="0" fontId="22" fillId="0" borderId="0" xfId="1" applyFont="1" applyFill="1" applyBorder="1" applyAlignment="1">
      <alignment horizontal="right" wrapText="1"/>
    </xf>
    <xf numFmtId="2" fontId="26" fillId="0" borderId="0" xfId="1" applyNumberFormat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wrapText="1"/>
    </xf>
    <xf numFmtId="2" fontId="13" fillId="2" borderId="1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wrapText="1"/>
    </xf>
    <xf numFmtId="0" fontId="11" fillId="0" borderId="0" xfId="1" applyFont="1" applyFill="1" applyBorder="1" applyAlignment="1">
      <alignment vertical="center" wrapText="1"/>
    </xf>
    <xf numFmtId="2" fontId="28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28" fillId="0" borderId="0" xfId="1" applyNumberFormat="1" applyFont="1" applyFill="1" applyBorder="1" applyAlignment="1">
      <alignment horizontal="center" wrapText="1"/>
    </xf>
    <xf numFmtId="2" fontId="11" fillId="0" borderId="0" xfId="1" applyNumberFormat="1" applyFont="1" applyFill="1" applyBorder="1" applyAlignment="1">
      <alignment vertical="center" wrapText="1"/>
    </xf>
    <xf numFmtId="2" fontId="11" fillId="0" borderId="0" xfId="1" applyNumberFormat="1" applyFont="1" applyFill="1" applyBorder="1" applyAlignment="1">
      <alignment horizontal="right" wrapText="1"/>
    </xf>
    <xf numFmtId="2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2" fontId="28" fillId="0" borderId="0" xfId="1" applyNumberFormat="1" applyFont="1" applyFill="1" applyBorder="1" applyAlignment="1">
      <alignment wrapText="1"/>
    </xf>
    <xf numFmtId="2" fontId="13" fillId="0" borderId="0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right" wrapText="1"/>
    </xf>
    <xf numFmtId="164" fontId="18" fillId="0" borderId="0" xfId="1" applyNumberFormat="1" applyFont="1" applyFill="1" applyBorder="1" applyAlignment="1">
      <alignment wrapText="1"/>
    </xf>
    <xf numFmtId="0" fontId="28" fillId="0" borderId="0" xfId="1" applyFont="1" applyFill="1" applyBorder="1" applyAlignment="1">
      <alignment wrapText="1"/>
    </xf>
    <xf numFmtId="0" fontId="28" fillId="0" borderId="0" xfId="1" applyFont="1" applyFill="1" applyBorder="1" applyAlignment="1">
      <alignment horizontal="right" wrapText="1"/>
    </xf>
    <xf numFmtId="0" fontId="15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2" fontId="15" fillId="4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wrapText="1"/>
    </xf>
    <xf numFmtId="165" fontId="11" fillId="0" borderId="0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wrapText="1"/>
    </xf>
    <xf numFmtId="0" fontId="31" fillId="0" borderId="0" xfId="1" applyFont="1" applyFill="1" applyBorder="1" applyAlignment="1">
      <alignment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2" fontId="29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wrapText="1"/>
    </xf>
    <xf numFmtId="0" fontId="32" fillId="0" borderId="0" xfId="1" applyFont="1" applyFill="1" applyBorder="1" applyAlignment="1">
      <alignment wrapText="1"/>
    </xf>
    <xf numFmtId="0" fontId="32" fillId="0" borderId="1" xfId="1" applyFont="1" applyFill="1" applyBorder="1" applyAlignment="1">
      <alignment horizontal="center" vertical="center" wrapText="1"/>
    </xf>
    <xf numFmtId="2" fontId="32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2" fontId="33" fillId="0" borderId="0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vertical="center" wrapText="1"/>
    </xf>
    <xf numFmtId="2" fontId="31" fillId="0" borderId="0" xfId="1" applyNumberFormat="1" applyFont="1" applyFill="1" applyBorder="1" applyAlignment="1">
      <alignment horizontal="right" wrapText="1"/>
    </xf>
    <xf numFmtId="2" fontId="31" fillId="0" borderId="0" xfId="1" applyNumberFormat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vertical="center" wrapText="1"/>
    </xf>
    <xf numFmtId="2" fontId="34" fillId="0" borderId="0" xfId="1" applyNumberFormat="1" applyFont="1" applyFill="1" applyBorder="1" applyAlignment="1">
      <alignment wrapText="1"/>
    </xf>
    <xf numFmtId="2" fontId="29" fillId="0" borderId="0" xfId="1" applyNumberFormat="1" applyFont="1" applyFill="1" applyBorder="1" applyAlignment="1">
      <alignment horizontal="right" wrapText="1"/>
    </xf>
    <xf numFmtId="0" fontId="29" fillId="0" borderId="0" xfId="1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0" fontId="31" fillId="0" borderId="0" xfId="1" applyFont="1" applyFill="1" applyBorder="1" applyAlignment="1">
      <alignment horizontal="right" wrapText="1"/>
    </xf>
    <xf numFmtId="0" fontId="34" fillId="0" borderId="0" xfId="1" applyFont="1" applyFill="1" applyBorder="1" applyAlignment="1">
      <alignment wrapText="1"/>
    </xf>
    <xf numFmtId="0" fontId="34" fillId="0" borderId="0" xfId="1" applyFont="1" applyFill="1" applyBorder="1" applyAlignment="1">
      <alignment horizontal="right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6" fillId="0" borderId="0" xfId="1" applyNumberFormat="1" applyFont="1" applyFill="1" applyBorder="1" applyAlignment="1">
      <alignment wrapText="1"/>
    </xf>
    <xf numFmtId="2" fontId="37" fillId="0" borderId="0" xfId="1" applyNumberFormat="1" applyFont="1" applyFill="1" applyBorder="1" applyAlignment="1">
      <alignment wrapText="1"/>
    </xf>
    <xf numFmtId="2" fontId="34" fillId="0" borderId="1" xfId="1" applyNumberFormat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wrapText="1"/>
    </xf>
    <xf numFmtId="0" fontId="29" fillId="5" borderId="0" xfId="1" applyFont="1" applyFill="1" applyBorder="1" applyAlignment="1">
      <alignment wrapText="1"/>
    </xf>
    <xf numFmtId="0" fontId="38" fillId="0" borderId="0" xfId="0" applyFont="1"/>
    <xf numFmtId="0" fontId="39" fillId="0" borderId="0" xfId="0" applyFont="1"/>
    <xf numFmtId="2" fontId="38" fillId="0" borderId="0" xfId="0" applyNumberFormat="1" applyFont="1"/>
    <xf numFmtId="17" fontId="0" fillId="0" borderId="0" xfId="0" applyNumberFormat="1"/>
    <xf numFmtId="2" fontId="0" fillId="0" borderId="0" xfId="0" applyNumberFormat="1"/>
    <xf numFmtId="0" fontId="35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right" wrapText="1"/>
    </xf>
    <xf numFmtId="2" fontId="41" fillId="0" borderId="0" xfId="1" applyNumberFormat="1" applyFont="1" applyFill="1" applyBorder="1" applyAlignment="1">
      <alignment wrapText="1"/>
    </xf>
    <xf numFmtId="0" fontId="35" fillId="0" borderId="0" xfId="1" applyFont="1" applyFill="1" applyBorder="1" applyAlignment="1">
      <alignment horizontal="center" wrapText="1"/>
    </xf>
    <xf numFmtId="0" fontId="35" fillId="0" borderId="0" xfId="1" applyFont="1" applyFill="1" applyBorder="1" applyAlignment="1">
      <alignment horizontal="center" vertical="center" wrapText="1"/>
    </xf>
    <xf numFmtId="2" fontId="35" fillId="0" borderId="0" xfId="1" applyNumberFormat="1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2" fontId="42" fillId="0" borderId="0" xfId="1" applyNumberFormat="1" applyFont="1" applyFill="1" applyBorder="1" applyAlignment="1">
      <alignment wrapText="1"/>
    </xf>
    <xf numFmtId="2" fontId="0" fillId="2" borderId="0" xfId="0" applyNumberFormat="1" applyFill="1"/>
    <xf numFmtId="0" fontId="43" fillId="0" borderId="1" xfId="4" applyFont="1" applyFill="1" applyBorder="1" applyAlignment="1">
      <alignment horizontal="center" vertical="center" wrapText="1"/>
    </xf>
    <xf numFmtId="0" fontId="44" fillId="0" borderId="1" xfId="4" applyFont="1" applyFill="1" applyBorder="1" applyAlignment="1">
      <alignment horizontal="center" vertical="center" wrapText="1"/>
    </xf>
    <xf numFmtId="0" fontId="44" fillId="0" borderId="1" xfId="5" applyFont="1" applyFill="1" applyBorder="1" applyAlignment="1">
      <alignment horizontal="center" vertical="center" wrapText="1"/>
    </xf>
    <xf numFmtId="2" fontId="56" fillId="0" borderId="1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58" fillId="0" borderId="0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35" fillId="0" borderId="1" xfId="6" applyNumberFormat="1" applyFont="1" applyFill="1" applyBorder="1" applyAlignment="1">
      <alignment horizontal="center" vertical="center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62" fillId="0" borderId="1" xfId="4" applyFont="1" applyFill="1" applyBorder="1" applyAlignment="1">
      <alignment horizontal="center" vertical="center" wrapText="1"/>
    </xf>
    <xf numFmtId="0" fontId="61" fillId="0" borderId="1" xfId="4" applyFont="1" applyFill="1" applyBorder="1" applyAlignment="1">
      <alignment horizontal="center" vertical="center" wrapText="1"/>
    </xf>
    <xf numFmtId="0" fontId="61" fillId="0" borderId="1" xfId="5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44" fillId="0" borderId="3" xfId="4" applyFont="1" applyFill="1" applyBorder="1" applyAlignment="1">
      <alignment horizontal="center" vertical="center" wrapText="1"/>
    </xf>
    <xf numFmtId="0" fontId="44" fillId="0" borderId="5" xfId="4" applyFont="1" applyFill="1" applyBorder="1" applyAlignment="1">
      <alignment horizontal="center" vertical="center" wrapText="1"/>
    </xf>
    <xf numFmtId="0" fontId="31" fillId="0" borderId="4" xfId="4" applyFont="1" applyFill="1" applyBorder="1" applyAlignment="1">
      <alignment horizontal="center" vertical="center" wrapText="1"/>
    </xf>
    <xf numFmtId="0" fontId="31" fillId="0" borderId="2" xfId="4" applyFont="1" applyFill="1" applyBorder="1" applyAlignment="1">
      <alignment horizontal="center" vertical="center" wrapText="1"/>
    </xf>
    <xf numFmtId="0" fontId="47" fillId="0" borderId="1" xfId="4" applyFont="1" applyFill="1" applyBorder="1" applyAlignment="1">
      <alignment horizontal="center" vertical="center" wrapText="1"/>
    </xf>
    <xf numFmtId="0" fontId="45" fillId="0" borderId="1" xfId="4" applyFont="1" applyFill="1" applyBorder="1" applyAlignment="1">
      <alignment horizontal="center" vertical="center" wrapText="1"/>
    </xf>
    <xf numFmtId="0" fontId="45" fillId="0" borderId="3" xfId="4" applyFont="1" applyFill="1" applyBorder="1" applyAlignment="1">
      <alignment horizontal="center" vertical="center" wrapText="1"/>
    </xf>
    <xf numFmtId="0" fontId="45" fillId="0" borderId="5" xfId="4" applyFont="1" applyFill="1" applyBorder="1" applyAlignment="1">
      <alignment horizontal="center" vertical="center" wrapText="1"/>
    </xf>
    <xf numFmtId="0" fontId="46" fillId="0" borderId="1" xfId="4" applyFont="1" applyFill="1" applyBorder="1" applyAlignment="1">
      <alignment horizontal="center" vertical="center" wrapText="1"/>
    </xf>
    <xf numFmtId="0" fontId="54" fillId="0" borderId="1" xfId="1" applyFont="1" applyFill="1" applyBorder="1" applyAlignment="1">
      <alignment horizontal="center" vertical="center" wrapText="1"/>
    </xf>
    <xf numFmtId="0" fontId="55" fillId="0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center" vertical="center" wrapText="1"/>
    </xf>
    <xf numFmtId="0" fontId="53" fillId="0" borderId="1" xfId="1" applyFont="1" applyFill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4" fillId="0" borderId="4" xfId="4" applyFont="1" applyFill="1" applyBorder="1" applyAlignment="1">
      <alignment horizontal="center" vertical="center" wrapText="1"/>
    </xf>
    <xf numFmtId="0" fontId="44" fillId="0" borderId="7" xfId="4" applyFont="1" applyFill="1" applyBorder="1" applyAlignment="1">
      <alignment horizontal="center" vertical="center" wrapText="1"/>
    </xf>
    <xf numFmtId="0" fontId="44" fillId="0" borderId="2" xfId="4" applyFont="1" applyFill="1" applyBorder="1" applyAlignment="1">
      <alignment horizontal="center" vertical="center" wrapText="1"/>
    </xf>
    <xf numFmtId="0" fontId="52" fillId="0" borderId="3" xfId="4" applyFont="1" applyFill="1" applyBorder="1" applyAlignment="1">
      <alignment horizontal="center" vertical="center" wrapText="1"/>
    </xf>
    <xf numFmtId="0" fontId="52" fillId="0" borderId="5" xfId="4" applyFont="1" applyFill="1" applyBorder="1" applyAlignment="1">
      <alignment horizontal="center" vertical="center" wrapText="1"/>
    </xf>
    <xf numFmtId="0" fontId="57" fillId="0" borderId="1" xfId="4" applyFont="1" applyFill="1" applyBorder="1" applyAlignment="1">
      <alignment horizontal="center" vertical="center" wrapText="1"/>
    </xf>
    <xf numFmtId="0" fontId="57" fillId="0" borderId="3" xfId="4" applyFont="1" applyFill="1" applyBorder="1" applyAlignment="1">
      <alignment horizontal="center" vertical="center" wrapText="1"/>
    </xf>
    <xf numFmtId="0" fontId="57" fillId="0" borderId="5" xfId="4" applyFont="1" applyFill="1" applyBorder="1" applyAlignment="1">
      <alignment horizontal="center" vertical="center" wrapText="1"/>
    </xf>
    <xf numFmtId="0" fontId="52" fillId="0" borderId="1" xfId="4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wrapText="1"/>
    </xf>
    <xf numFmtId="0" fontId="27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5" fillId="0" borderId="4" xfId="4" applyFont="1" applyFill="1" applyBorder="1" applyAlignment="1">
      <alignment horizontal="center" vertical="center" wrapText="1"/>
    </xf>
    <xf numFmtId="0" fontId="35" fillId="0" borderId="2" xfId="4" applyFont="1" applyFill="1" applyBorder="1" applyAlignment="1">
      <alignment horizontal="center" vertical="center" wrapText="1"/>
    </xf>
    <xf numFmtId="0" fontId="61" fillId="0" borderId="3" xfId="4" applyFont="1" applyFill="1" applyBorder="1" applyAlignment="1">
      <alignment horizontal="center" vertical="center" wrapText="1"/>
    </xf>
    <xf numFmtId="0" fontId="61" fillId="0" borderId="5" xfId="4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 wrapText="1"/>
    </xf>
    <xf numFmtId="0" fontId="61" fillId="0" borderId="1" xfId="1" applyFont="1" applyFill="1" applyBorder="1" applyAlignment="1">
      <alignment horizontal="center" vertical="center" wrapText="1"/>
    </xf>
    <xf numFmtId="0" fontId="61" fillId="0" borderId="4" xfId="4" applyFont="1" applyFill="1" applyBorder="1" applyAlignment="1">
      <alignment horizontal="center" vertical="center" wrapText="1"/>
    </xf>
    <xf numFmtId="0" fontId="61" fillId="0" borderId="7" xfId="4" applyFont="1" applyFill="1" applyBorder="1" applyAlignment="1">
      <alignment horizontal="center" vertical="center" wrapText="1"/>
    </xf>
    <xf numFmtId="0" fontId="61" fillId="0" borderId="2" xfId="4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center" vertical="center" wrapText="1"/>
    </xf>
  </cellXfs>
  <cellStyles count="7">
    <cellStyle name="Normal" xfId="0" builtinId="0"/>
    <cellStyle name="Normal 10" xfId="5"/>
    <cellStyle name="Normal 2" xfId="1"/>
    <cellStyle name="Normal 2 2" xfId="3"/>
    <cellStyle name="Normal 20" xfId="2"/>
    <cellStyle name="Normal 41 2" xfId="6"/>
    <cellStyle name="Normal 65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849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526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058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715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T%20LT\2018-19\HT%20LINES%20FY%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HT%20Lines%20FY%2017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%20opearation%201/Desktop/dec%2018/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/Downloads/HT%20Lines%20FY%202021-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/Downloads/HT%20Lines%20FY%202021-22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SCOM/Downloads/HT%20Lines%20FY%202022-23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folder/HT%20Lines%20FY%202022-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%20Lines%20FY%20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dec 18"/>
      <sheetName val="jan 19"/>
      <sheetName val="feb 19"/>
      <sheetName val="mar 19"/>
      <sheetName val="ht"/>
      <sheetName val="Sheet1"/>
    </sheetNames>
    <sheetDataSet>
      <sheetData sheetId="0"/>
      <sheetData sheetId="1">
        <row r="49">
          <cell r="F49">
            <v>0</v>
          </cell>
          <cell r="L49">
            <v>0</v>
          </cell>
          <cell r="R49">
            <v>0</v>
          </cell>
        </row>
      </sheetData>
      <sheetData sheetId="2">
        <row r="49">
          <cell r="L49">
            <v>0</v>
          </cell>
          <cell r="R49">
            <v>0</v>
          </cell>
        </row>
      </sheetData>
      <sheetData sheetId="3">
        <row r="50">
          <cell r="L50">
            <v>0</v>
          </cell>
          <cell r="R50">
            <v>0</v>
          </cell>
        </row>
      </sheetData>
      <sheetData sheetId="4">
        <row r="50">
          <cell r="L50">
            <v>0</v>
          </cell>
        </row>
      </sheetData>
      <sheetData sheetId="5">
        <row r="50">
          <cell r="F50">
            <v>0</v>
          </cell>
        </row>
      </sheetData>
      <sheetData sheetId="6">
        <row r="50">
          <cell r="F50">
            <v>0</v>
          </cell>
          <cell r="L50">
            <v>0</v>
          </cell>
          <cell r="R50">
            <v>0</v>
          </cell>
        </row>
      </sheetData>
      <sheetData sheetId="7">
        <row r="50">
          <cell r="F50">
            <v>0</v>
          </cell>
          <cell r="L50">
            <v>0</v>
          </cell>
          <cell r="R50">
            <v>0</v>
          </cell>
        </row>
      </sheetData>
      <sheetData sheetId="8">
        <row r="50">
          <cell r="F50">
            <v>0</v>
          </cell>
          <cell r="L50">
            <v>0</v>
          </cell>
          <cell r="R50">
            <v>0</v>
          </cell>
        </row>
      </sheetData>
      <sheetData sheetId="9">
        <row r="50">
          <cell r="F50">
            <v>0</v>
          </cell>
          <cell r="L50">
            <v>0</v>
          </cell>
          <cell r="R50">
            <v>0</v>
          </cell>
        </row>
      </sheetData>
      <sheetData sheetId="10">
        <row r="50">
          <cell r="F50">
            <v>0</v>
          </cell>
          <cell r="L50">
            <v>0</v>
          </cell>
          <cell r="R50">
            <v>0</v>
          </cell>
        </row>
      </sheetData>
      <sheetData sheetId="11">
        <row r="50">
          <cell r="F50">
            <v>0</v>
          </cell>
          <cell r="L50">
            <v>0</v>
          </cell>
          <cell r="R50">
            <v>0</v>
          </cell>
        </row>
      </sheetData>
      <sheetData sheetId="12">
        <row r="50">
          <cell r="F50">
            <v>0</v>
          </cell>
          <cell r="L50">
            <v>0</v>
          </cell>
          <cell r="R50">
            <v>0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"/>
      <sheetName val="may 17"/>
      <sheetName val="June 17"/>
      <sheetName val="July 17"/>
      <sheetName val="aug 17"/>
      <sheetName val="sep 17"/>
      <sheetName val="oct 20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/>
      <sheetData sheetId="1"/>
      <sheetData sheetId="2"/>
      <sheetData sheetId="3"/>
      <sheetData sheetId="4"/>
      <sheetData sheetId="5">
        <row r="53">
          <cell r="J53">
            <v>96828.387300000002</v>
          </cell>
        </row>
      </sheetData>
      <sheetData sheetId="6">
        <row r="51">
          <cell r="J51">
            <v>563.62499999999989</v>
          </cell>
        </row>
        <row r="53">
          <cell r="J53">
            <v>97392.012300000002</v>
          </cell>
        </row>
      </sheetData>
      <sheetData sheetId="7">
        <row r="47">
          <cell r="K47">
            <v>196.75800000000001</v>
          </cell>
          <cell r="R47">
            <v>53.540000000000006</v>
          </cell>
        </row>
        <row r="51">
          <cell r="J51">
            <v>511.73900000000003</v>
          </cell>
        </row>
        <row r="53">
          <cell r="J53">
            <v>97908.988299999997</v>
          </cell>
        </row>
      </sheetData>
      <sheetData sheetId="8">
        <row r="47">
          <cell r="J47">
            <v>32.905000000000001</v>
          </cell>
          <cell r="Q47">
            <v>9.44</v>
          </cell>
        </row>
        <row r="51">
          <cell r="J51">
            <v>672.19600000000014</v>
          </cell>
        </row>
        <row r="53">
          <cell r="J53">
            <v>98581.184299999994</v>
          </cell>
        </row>
      </sheetData>
      <sheetData sheetId="9">
        <row r="51">
          <cell r="J51">
            <v>407.10399999999998</v>
          </cell>
        </row>
      </sheetData>
      <sheetData sheetId="10"/>
      <sheetData sheetId="11">
        <row r="54">
          <cell r="J54">
            <v>100283.96429999999</v>
          </cell>
        </row>
      </sheetData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bmaz"/>
      <sheetName val="dec 18"/>
    </sheetNames>
    <sheetDataSet>
      <sheetData sheetId="0" refreshError="1">
        <row r="47">
          <cell r="H47">
            <v>94792.478299999988</v>
          </cell>
        </row>
      </sheetData>
      <sheetData sheetId="1" refreshError="1">
        <row r="48">
          <cell r="E48">
            <v>525.95000000000005</v>
          </cell>
          <cell r="K48">
            <v>17.23</v>
          </cell>
          <cell r="R48">
            <v>5.34</v>
          </cell>
        </row>
      </sheetData>
      <sheetData sheetId="2" refreshError="1">
        <row r="49">
          <cell r="D49">
            <v>631.39699999999993</v>
          </cell>
          <cell r="J49">
            <v>13.091999999999999</v>
          </cell>
          <cell r="Q49">
            <v>1.68</v>
          </cell>
        </row>
      </sheetData>
      <sheetData sheetId="3" refreshError="1"/>
      <sheetData sheetId="4" refreshError="1">
        <row r="51">
          <cell r="N51">
            <v>4962.2130000000006</v>
          </cell>
        </row>
        <row r="52">
          <cell r="N52">
            <v>0</v>
          </cell>
        </row>
      </sheetData>
      <sheetData sheetId="5" refreshError="1">
        <row r="51">
          <cell r="J51">
            <v>0</v>
          </cell>
          <cell r="L51">
            <v>0</v>
          </cell>
        </row>
        <row r="52">
          <cell r="J52">
            <v>0</v>
          </cell>
          <cell r="L52">
            <v>0</v>
          </cell>
        </row>
      </sheetData>
      <sheetData sheetId="6" refreshError="1">
        <row r="56">
          <cell r="J56">
            <v>104325.74429999999</v>
          </cell>
        </row>
      </sheetData>
      <sheetData sheetId="7" refreshError="1">
        <row r="54">
          <cell r="J54">
            <v>439.91400000000004</v>
          </cell>
        </row>
      </sheetData>
      <sheetData sheetId="8" refreshError="1">
        <row r="7">
          <cell r="E7">
            <v>0.64999999999999991</v>
          </cell>
        </row>
        <row r="51">
          <cell r="H51" t="e">
            <v>#REF!</v>
          </cell>
          <cell r="K51" t="e">
            <v>#REF!</v>
          </cell>
        </row>
        <row r="52">
          <cell r="H52" t="e">
            <v>#REF!</v>
          </cell>
          <cell r="K52" t="e">
            <v>#REF!</v>
          </cell>
        </row>
        <row r="56">
          <cell r="J56">
            <v>105296.85729999999</v>
          </cell>
        </row>
      </sheetData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)"/>
      <sheetName val="July 2021"/>
      <sheetName val="august 2021"/>
      <sheetName val="september 2021"/>
      <sheetName val="October 2021"/>
      <sheetName val="November 2021"/>
      <sheetName val="December 2021"/>
      <sheetName val="January 2022"/>
      <sheetName val="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E16">
            <v>1.9299999999999997</v>
          </cell>
          <cell r="G16">
            <v>57.36</v>
          </cell>
          <cell r="H16">
            <v>1011.2140000000004</v>
          </cell>
          <cell r="K16">
            <v>149.035</v>
          </cell>
          <cell r="M16">
            <v>0</v>
          </cell>
          <cell r="N16">
            <v>275.71600000000001</v>
          </cell>
          <cell r="Q16">
            <v>0.05</v>
          </cell>
          <cell r="S16">
            <v>0</v>
          </cell>
          <cell r="T16">
            <v>177.31200000000004</v>
          </cell>
        </row>
        <row r="17">
          <cell r="E17">
            <v>3.51</v>
          </cell>
          <cell r="G17">
            <v>67.83</v>
          </cell>
          <cell r="H17">
            <v>58.815999999999946</v>
          </cell>
          <cell r="K17">
            <v>94.84</v>
          </cell>
          <cell r="M17">
            <v>0</v>
          </cell>
          <cell r="N17">
            <v>442.87000000000018</v>
          </cell>
          <cell r="Q17">
            <v>0.03</v>
          </cell>
          <cell r="S17">
            <v>1.665</v>
          </cell>
          <cell r="T17">
            <v>6.33</v>
          </cell>
        </row>
        <row r="18">
          <cell r="E18">
            <v>0.29000000000000004</v>
          </cell>
          <cell r="G18">
            <v>0</v>
          </cell>
          <cell r="H18">
            <v>135.7760000000001</v>
          </cell>
          <cell r="K18">
            <v>140.45999999999998</v>
          </cell>
          <cell r="M18">
            <v>0</v>
          </cell>
          <cell r="N18">
            <v>482.99699999999996</v>
          </cell>
          <cell r="Q18">
            <v>0</v>
          </cell>
          <cell r="S18">
            <v>0</v>
          </cell>
          <cell r="T18">
            <v>38.869999999999997</v>
          </cell>
        </row>
        <row r="20">
          <cell r="E20">
            <v>2.37</v>
          </cell>
          <cell r="G20">
            <v>0.43</v>
          </cell>
          <cell r="H20">
            <v>629.64</v>
          </cell>
          <cell r="K20">
            <v>12.275</v>
          </cell>
          <cell r="M20">
            <v>0</v>
          </cell>
          <cell r="N20">
            <v>394.99500000000012</v>
          </cell>
          <cell r="Q20">
            <v>0.15</v>
          </cell>
          <cell r="S20">
            <v>0.04</v>
          </cell>
          <cell r="T20">
            <v>40.350000000000009</v>
          </cell>
        </row>
        <row r="21">
          <cell r="E21">
            <v>0</v>
          </cell>
          <cell r="G21">
            <v>8.36</v>
          </cell>
          <cell r="H21">
            <v>22.51</v>
          </cell>
          <cell r="K21">
            <v>27.704000000000004</v>
          </cell>
          <cell r="M21">
            <v>0</v>
          </cell>
          <cell r="N21">
            <v>396.39699999999993</v>
          </cell>
          <cell r="Q21">
            <v>0</v>
          </cell>
          <cell r="S21">
            <v>0.19</v>
          </cell>
          <cell r="T21">
            <v>19.369999999999997</v>
          </cell>
        </row>
        <row r="22">
          <cell r="E22">
            <v>1.8900000000000001</v>
          </cell>
          <cell r="G22">
            <v>64.459999999999994</v>
          </cell>
          <cell r="H22">
            <v>118.15</v>
          </cell>
          <cell r="K22">
            <v>109.955</v>
          </cell>
          <cell r="M22">
            <v>19.510000000000002</v>
          </cell>
          <cell r="N22">
            <v>451.48000000000008</v>
          </cell>
          <cell r="Q22">
            <v>0</v>
          </cell>
          <cell r="S22">
            <v>12.75</v>
          </cell>
          <cell r="T22">
            <v>4.370000000000001</v>
          </cell>
        </row>
        <row r="23">
          <cell r="E23">
            <v>8.35</v>
          </cell>
          <cell r="G23">
            <v>0</v>
          </cell>
          <cell r="H23">
            <v>430.64</v>
          </cell>
          <cell r="K23">
            <v>8.8949999999999996</v>
          </cell>
          <cell r="M23">
            <v>0</v>
          </cell>
          <cell r="N23">
            <v>85.694999999999993</v>
          </cell>
          <cell r="Q23">
            <v>0</v>
          </cell>
          <cell r="S23">
            <v>3.26</v>
          </cell>
          <cell r="T23">
            <v>22.5</v>
          </cell>
        </row>
        <row r="26">
          <cell r="E26">
            <v>82.86</v>
          </cell>
          <cell r="G26">
            <v>0</v>
          </cell>
          <cell r="H26">
            <v>1533.3899999999999</v>
          </cell>
          <cell r="K26">
            <v>4.92</v>
          </cell>
          <cell r="M26">
            <v>0</v>
          </cell>
          <cell r="N26">
            <v>63.970000000000006</v>
          </cell>
          <cell r="Q26">
            <v>2.62</v>
          </cell>
          <cell r="S26">
            <v>0</v>
          </cell>
          <cell r="T26">
            <v>16.11</v>
          </cell>
        </row>
        <row r="27">
          <cell r="E27">
            <v>93.935000000000016</v>
          </cell>
          <cell r="G27">
            <v>0</v>
          </cell>
          <cell r="H27">
            <v>5548.0750000000016</v>
          </cell>
          <cell r="K27">
            <v>22.33</v>
          </cell>
          <cell r="M27">
            <v>0</v>
          </cell>
          <cell r="N27">
            <v>578.32799999999997</v>
          </cell>
          <cell r="Q27">
            <v>0</v>
          </cell>
          <cell r="S27">
            <v>0</v>
          </cell>
          <cell r="T27">
            <v>33.49</v>
          </cell>
        </row>
        <row r="29">
          <cell r="E29">
            <v>36.121000000000009</v>
          </cell>
          <cell r="G29">
            <v>0</v>
          </cell>
          <cell r="H29">
            <v>4447.3280000000004</v>
          </cell>
          <cell r="K29">
            <v>31.85</v>
          </cell>
          <cell r="M29">
            <v>0</v>
          </cell>
          <cell r="N29">
            <v>128.51</v>
          </cell>
          <cell r="Q29">
            <v>0</v>
          </cell>
          <cell r="S29">
            <v>0</v>
          </cell>
          <cell r="T29">
            <v>57.720000000000006</v>
          </cell>
        </row>
        <row r="30">
          <cell r="E30">
            <v>98.209000000000003</v>
          </cell>
          <cell r="G30">
            <v>0</v>
          </cell>
          <cell r="H30">
            <v>3556.7799999999997</v>
          </cell>
          <cell r="K30">
            <v>5.2</v>
          </cell>
          <cell r="M30">
            <v>0</v>
          </cell>
          <cell r="N30">
            <v>26.696999999999999</v>
          </cell>
          <cell r="Q30">
            <v>0</v>
          </cell>
          <cell r="S30">
            <v>0</v>
          </cell>
          <cell r="T30">
            <v>23.25</v>
          </cell>
        </row>
        <row r="31">
          <cell r="E31">
            <v>110.41799999999999</v>
          </cell>
          <cell r="G31">
            <v>0</v>
          </cell>
          <cell r="H31">
            <v>4587.3190000000004</v>
          </cell>
          <cell r="K31">
            <v>0.28000000000000003</v>
          </cell>
          <cell r="M31">
            <v>0</v>
          </cell>
          <cell r="N31">
            <v>86.710000000000022</v>
          </cell>
          <cell r="Q31">
            <v>0</v>
          </cell>
          <cell r="S31">
            <v>0</v>
          </cell>
          <cell r="T31">
            <v>14.850000000000001</v>
          </cell>
        </row>
        <row r="32">
          <cell r="E32">
            <v>24.750000000000004</v>
          </cell>
          <cell r="G32">
            <v>0</v>
          </cell>
          <cell r="H32">
            <v>2320.5857999999998</v>
          </cell>
          <cell r="K32">
            <v>16.175000000000001</v>
          </cell>
          <cell r="M32">
            <v>0</v>
          </cell>
          <cell r="N32">
            <v>359.036</v>
          </cell>
          <cell r="Q32">
            <v>7.0000000000000001E-3</v>
          </cell>
          <cell r="S32">
            <v>0</v>
          </cell>
          <cell r="T32">
            <v>67.551999999999992</v>
          </cell>
        </row>
        <row r="34">
          <cell r="E34">
            <v>45.199999999999996</v>
          </cell>
          <cell r="G34">
            <v>0</v>
          </cell>
          <cell r="H34">
            <v>4417.4900000000007</v>
          </cell>
          <cell r="K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142.56</v>
          </cell>
          <cell r="G35">
            <v>0</v>
          </cell>
          <cell r="H35">
            <v>6029.1799999999976</v>
          </cell>
          <cell r="K35">
            <v>2.92</v>
          </cell>
          <cell r="M35">
            <v>0</v>
          </cell>
          <cell r="N35">
            <v>6.92</v>
          </cell>
          <cell r="Q35">
            <v>4.63</v>
          </cell>
          <cell r="S35">
            <v>0</v>
          </cell>
          <cell r="T35">
            <v>49.160000000000004</v>
          </cell>
        </row>
        <row r="36">
          <cell r="E36">
            <v>46.66</v>
          </cell>
          <cell r="G36">
            <v>0</v>
          </cell>
          <cell r="H36">
            <v>3375.8999999999996</v>
          </cell>
          <cell r="K36">
            <v>0</v>
          </cell>
          <cell r="M36">
            <v>0</v>
          </cell>
          <cell r="N36">
            <v>25.05000000000004</v>
          </cell>
          <cell r="Q36">
            <v>3.42</v>
          </cell>
          <cell r="S36">
            <v>0</v>
          </cell>
          <cell r="T36">
            <v>5.62</v>
          </cell>
        </row>
        <row r="37">
          <cell r="E37">
            <v>71.679999999999993</v>
          </cell>
          <cell r="G37">
            <v>0</v>
          </cell>
          <cell r="H37">
            <v>4773.1199999999972</v>
          </cell>
          <cell r="K37">
            <v>12.43</v>
          </cell>
          <cell r="M37">
            <v>0</v>
          </cell>
          <cell r="N37">
            <v>12.430000000000001</v>
          </cell>
          <cell r="Q37">
            <v>1</v>
          </cell>
          <cell r="S37">
            <v>0</v>
          </cell>
          <cell r="T37">
            <v>2.04</v>
          </cell>
        </row>
        <row r="40">
          <cell r="E40">
            <v>193.304</v>
          </cell>
          <cell r="G40">
            <v>0</v>
          </cell>
          <cell r="H40">
            <v>11188.163999999999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319.83099999999996</v>
          </cell>
          <cell r="G41">
            <v>0</v>
          </cell>
          <cell r="H41">
            <v>7391.5169999999953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201.333</v>
          </cell>
          <cell r="G42">
            <v>0</v>
          </cell>
          <cell r="H42">
            <v>13715.448999999997</v>
          </cell>
          <cell r="K42">
            <v>0</v>
          </cell>
          <cell r="M42">
            <v>0</v>
          </cell>
          <cell r="N42">
            <v>0</v>
          </cell>
          <cell r="Q42">
            <v>5.67</v>
          </cell>
          <cell r="S42">
            <v>0</v>
          </cell>
          <cell r="T42">
            <v>39.019999999999996</v>
          </cell>
        </row>
        <row r="43">
          <cell r="E43">
            <v>83.171999999999997</v>
          </cell>
          <cell r="G43">
            <v>0</v>
          </cell>
          <cell r="H43">
            <v>3949.2100000000009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250.48000000000002</v>
          </cell>
          <cell r="G45">
            <v>6.46</v>
          </cell>
          <cell r="H45">
            <v>8332.4621000000025</v>
          </cell>
          <cell r="K45">
            <v>3.0799999999999996</v>
          </cell>
          <cell r="M45">
            <v>0</v>
          </cell>
          <cell r="N45">
            <v>8.66</v>
          </cell>
          <cell r="Q45">
            <v>0.32</v>
          </cell>
          <cell r="S45">
            <v>0</v>
          </cell>
          <cell r="T45">
            <v>14.75</v>
          </cell>
        </row>
        <row r="46">
          <cell r="E46">
            <v>164.07999999999998</v>
          </cell>
          <cell r="G46">
            <v>0</v>
          </cell>
          <cell r="H46">
            <v>7662.0050000000019</v>
          </cell>
          <cell r="K46">
            <v>0</v>
          </cell>
          <cell r="M46">
            <v>0</v>
          </cell>
          <cell r="N46">
            <v>0</v>
          </cell>
          <cell r="Q46">
            <v>0</v>
          </cell>
          <cell r="S46">
            <v>0</v>
          </cell>
          <cell r="T46">
            <v>0</v>
          </cell>
        </row>
        <row r="47">
          <cell r="E47">
            <v>241.12</v>
          </cell>
          <cell r="G47">
            <v>0</v>
          </cell>
          <cell r="H47">
            <v>8660.35</v>
          </cell>
          <cell r="K47">
            <v>0</v>
          </cell>
          <cell r="M47">
            <v>0</v>
          </cell>
          <cell r="N47">
            <v>3.13</v>
          </cell>
          <cell r="Q47">
            <v>0</v>
          </cell>
          <cell r="S47">
            <v>0</v>
          </cell>
          <cell r="T47">
            <v>0.03</v>
          </cell>
        </row>
        <row r="48">
          <cell r="E48">
            <v>488.63900000000001</v>
          </cell>
          <cell r="G48">
            <v>0</v>
          </cell>
          <cell r="H48">
            <v>8109.0689999999995</v>
          </cell>
          <cell r="K48">
            <v>1.1299999999999999</v>
          </cell>
          <cell r="M48">
            <v>0</v>
          </cell>
          <cell r="N48">
            <v>1.6349999999999998</v>
          </cell>
          <cell r="Q48">
            <v>0</v>
          </cell>
          <cell r="S48">
            <v>0</v>
          </cell>
          <cell r="T48">
            <v>0</v>
          </cell>
        </row>
      </sheetData>
      <sheetData sheetId="10" refreshError="1">
        <row r="16">
          <cell r="D16">
            <v>0</v>
          </cell>
          <cell r="F16">
            <v>0</v>
          </cell>
          <cell r="J16">
            <v>8.39</v>
          </cell>
          <cell r="L16">
            <v>0</v>
          </cell>
          <cell r="P16">
            <v>0</v>
          </cell>
          <cell r="R16">
            <v>0</v>
          </cell>
        </row>
        <row r="17">
          <cell r="D17">
            <v>0</v>
          </cell>
          <cell r="F17">
            <v>47.69</v>
          </cell>
          <cell r="J17">
            <v>51.07</v>
          </cell>
          <cell r="L17">
            <v>0</v>
          </cell>
          <cell r="P17">
            <v>0</v>
          </cell>
          <cell r="R17">
            <v>0</v>
          </cell>
        </row>
        <row r="18">
          <cell r="D18">
            <v>0</v>
          </cell>
          <cell r="F18">
            <v>59.79</v>
          </cell>
          <cell r="J18">
            <v>1.43</v>
          </cell>
          <cell r="L18">
            <v>0</v>
          </cell>
          <cell r="P18">
            <v>0</v>
          </cell>
          <cell r="R18">
            <v>0</v>
          </cell>
        </row>
        <row r="20">
          <cell r="D20">
            <v>0</v>
          </cell>
          <cell r="F20">
            <v>0</v>
          </cell>
          <cell r="J20">
            <v>2.423</v>
          </cell>
          <cell r="L20">
            <v>0</v>
          </cell>
          <cell r="P20">
            <v>0</v>
          </cell>
          <cell r="R20">
            <v>0</v>
          </cell>
        </row>
        <row r="21">
          <cell r="D21">
            <v>0</v>
          </cell>
          <cell r="F21">
            <v>0</v>
          </cell>
          <cell r="J21">
            <v>0.67</v>
          </cell>
          <cell r="L21">
            <v>0</v>
          </cell>
          <cell r="P21">
            <v>0</v>
          </cell>
          <cell r="R21">
            <v>0</v>
          </cell>
        </row>
        <row r="22">
          <cell r="D22">
            <v>1.04</v>
          </cell>
          <cell r="F22">
            <v>0</v>
          </cell>
          <cell r="J22">
            <v>0.35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0</v>
          </cell>
          <cell r="F23">
            <v>0</v>
          </cell>
          <cell r="J23">
            <v>1.84</v>
          </cell>
          <cell r="L23">
            <v>0</v>
          </cell>
          <cell r="P23">
            <v>0</v>
          </cell>
          <cell r="R23">
            <v>0</v>
          </cell>
        </row>
        <row r="26">
          <cell r="D26">
            <v>4.51</v>
          </cell>
          <cell r="F26">
            <v>0</v>
          </cell>
          <cell r="J26">
            <v>1.1000000000000001</v>
          </cell>
          <cell r="L26">
            <v>0</v>
          </cell>
          <cell r="P26">
            <v>0</v>
          </cell>
          <cell r="R26">
            <v>0</v>
          </cell>
        </row>
        <row r="27">
          <cell r="D27">
            <v>9.2100000000000009</v>
          </cell>
          <cell r="F27">
            <v>0</v>
          </cell>
          <cell r="J27">
            <v>4.2799999999999994</v>
          </cell>
          <cell r="L27">
            <v>0</v>
          </cell>
          <cell r="P27">
            <v>0</v>
          </cell>
          <cell r="R27">
            <v>0</v>
          </cell>
        </row>
        <row r="29">
          <cell r="D29">
            <v>2.52</v>
          </cell>
          <cell r="F29">
            <v>0</v>
          </cell>
          <cell r="J29">
            <v>7.5200000000000005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3.33</v>
          </cell>
          <cell r="F30">
            <v>0</v>
          </cell>
          <cell r="J30">
            <v>5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1.54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2.87</v>
          </cell>
          <cell r="F32">
            <v>0</v>
          </cell>
          <cell r="J32">
            <v>10.28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4.95</v>
          </cell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35.11</v>
          </cell>
          <cell r="F35">
            <v>0</v>
          </cell>
          <cell r="J35">
            <v>0</v>
          </cell>
          <cell r="L35">
            <v>0</v>
          </cell>
          <cell r="P35">
            <v>4.63</v>
          </cell>
          <cell r="R35">
            <v>0</v>
          </cell>
        </row>
        <row r="36">
          <cell r="D36">
            <v>16.82</v>
          </cell>
          <cell r="F36">
            <v>0</v>
          </cell>
          <cell r="J36">
            <v>4.63</v>
          </cell>
          <cell r="L36">
            <v>0</v>
          </cell>
          <cell r="P36">
            <v>3.42</v>
          </cell>
          <cell r="R36">
            <v>0</v>
          </cell>
        </row>
        <row r="37">
          <cell r="D37">
            <v>4.0999999999999996</v>
          </cell>
          <cell r="F37">
            <v>0</v>
          </cell>
          <cell r="J37">
            <v>1.06</v>
          </cell>
          <cell r="L37">
            <v>0</v>
          </cell>
          <cell r="P37">
            <v>1.06</v>
          </cell>
          <cell r="R37">
            <v>0</v>
          </cell>
        </row>
        <row r="40">
          <cell r="D40">
            <v>42.41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24.61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33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6.57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16.260000000000002</v>
          </cell>
          <cell r="F45">
            <v>0</v>
          </cell>
          <cell r="J45">
            <v>2.6799999999999997</v>
          </cell>
          <cell r="L45">
            <v>0</v>
          </cell>
          <cell r="P45">
            <v>0</v>
          </cell>
          <cell r="R45">
            <v>0</v>
          </cell>
        </row>
        <row r="46">
          <cell r="D46">
            <v>16.899999999999999</v>
          </cell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D47">
            <v>41.28</v>
          </cell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12.71</v>
          </cell>
          <cell r="F48">
            <v>0</v>
          </cell>
          <cell r="J48">
            <v>1.1299999999999999</v>
          </cell>
          <cell r="L48">
            <v>0</v>
          </cell>
          <cell r="P48">
            <v>0</v>
          </cell>
          <cell r="R48">
            <v>0</v>
          </cell>
        </row>
      </sheetData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)"/>
      <sheetName val="July 2021"/>
      <sheetName val="august 2021"/>
      <sheetName val="september 2021"/>
      <sheetName val="October 2021"/>
      <sheetName val="November 2021"/>
      <sheetName val="December 2021"/>
      <sheetName val="January 2022"/>
      <sheetName val="February 2022"/>
      <sheetName val="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E7">
            <v>0</v>
          </cell>
          <cell r="G7">
            <v>8.9580000000000002</v>
          </cell>
          <cell r="H7">
            <v>189.45999999999998</v>
          </cell>
          <cell r="K7">
            <v>43.063000000000009</v>
          </cell>
          <cell r="M7">
            <v>0</v>
          </cell>
          <cell r="N7">
            <v>405.65799999999984</v>
          </cell>
          <cell r="Q7">
            <v>1.88</v>
          </cell>
          <cell r="S7">
            <v>1.88</v>
          </cell>
          <cell r="T7">
            <v>17.390000000000008</v>
          </cell>
        </row>
        <row r="8">
          <cell r="E8">
            <v>0</v>
          </cell>
          <cell r="G8">
            <v>0</v>
          </cell>
          <cell r="H8">
            <v>265.39</v>
          </cell>
          <cell r="K8">
            <v>44.93</v>
          </cell>
          <cell r="M8">
            <v>0</v>
          </cell>
          <cell r="N8">
            <v>307.11</v>
          </cell>
          <cell r="Q8">
            <v>3.18</v>
          </cell>
          <cell r="S8">
            <v>0</v>
          </cell>
          <cell r="T8">
            <v>66.290000000000006</v>
          </cell>
        </row>
        <row r="9">
          <cell r="E9">
            <v>0</v>
          </cell>
          <cell r="G9">
            <v>0</v>
          </cell>
          <cell r="H9">
            <v>209.16</v>
          </cell>
          <cell r="K9">
            <v>13.5</v>
          </cell>
          <cell r="M9">
            <v>0</v>
          </cell>
          <cell r="N9">
            <v>697.02800000000002</v>
          </cell>
          <cell r="Q9">
            <v>0</v>
          </cell>
          <cell r="S9">
            <v>0</v>
          </cell>
          <cell r="T9">
            <v>44.739999999999995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4.4499999999999993</v>
          </cell>
          <cell r="M10">
            <v>0</v>
          </cell>
          <cell r="N10">
            <v>342.005</v>
          </cell>
          <cell r="Q10">
            <v>0</v>
          </cell>
          <cell r="S10">
            <v>0</v>
          </cell>
          <cell r="T10">
            <v>0.20000000000000007</v>
          </cell>
        </row>
        <row r="12">
          <cell r="E12">
            <v>0</v>
          </cell>
          <cell r="G12">
            <v>23.09</v>
          </cell>
          <cell r="H12">
            <v>413.23999999999961</v>
          </cell>
          <cell r="K12">
            <v>67.295000000000002</v>
          </cell>
          <cell r="M12">
            <v>0</v>
          </cell>
          <cell r="N12">
            <v>803.46499999999992</v>
          </cell>
          <cell r="Q12">
            <v>0</v>
          </cell>
          <cell r="S12">
            <v>0</v>
          </cell>
          <cell r="T12">
            <v>36.850000000000009</v>
          </cell>
        </row>
        <row r="13">
          <cell r="E13">
            <v>0.85</v>
          </cell>
          <cell r="G13">
            <v>0</v>
          </cell>
          <cell r="H13">
            <v>312.23000000000013</v>
          </cell>
          <cell r="K13">
            <v>9.8419999999999987</v>
          </cell>
          <cell r="M13">
            <v>0</v>
          </cell>
          <cell r="N13">
            <v>526.71200000000022</v>
          </cell>
          <cell r="Q13">
            <v>0</v>
          </cell>
          <cell r="S13">
            <v>0</v>
          </cell>
          <cell r="T13">
            <v>68.39</v>
          </cell>
        </row>
        <row r="14">
          <cell r="E14">
            <v>0.15</v>
          </cell>
          <cell r="G14">
            <v>0</v>
          </cell>
          <cell r="H14">
            <v>1216.4399999999994</v>
          </cell>
          <cell r="K14">
            <v>41.317999999999998</v>
          </cell>
          <cell r="M14">
            <v>0</v>
          </cell>
          <cell r="N14">
            <v>859.61800000000028</v>
          </cell>
          <cell r="Q14">
            <v>0</v>
          </cell>
          <cell r="S14">
            <v>0</v>
          </cell>
          <cell r="T14">
            <v>61.329999999999991</v>
          </cell>
        </row>
      </sheetData>
      <sheetData sheetId="11" refreshError="1">
        <row r="7">
          <cell r="D7">
            <v>0</v>
          </cell>
          <cell r="F7">
            <v>0</v>
          </cell>
          <cell r="J7">
            <v>1.27</v>
          </cell>
          <cell r="L7">
            <v>0</v>
          </cell>
          <cell r="P7">
            <v>1</v>
          </cell>
          <cell r="R7">
            <v>0</v>
          </cell>
        </row>
        <row r="8">
          <cell r="D8">
            <v>0</v>
          </cell>
          <cell r="F8">
            <v>0</v>
          </cell>
          <cell r="J8">
            <v>2.4049999999999998</v>
          </cell>
          <cell r="L8">
            <v>0</v>
          </cell>
          <cell r="P8">
            <v>0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1.22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0.09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57.93</v>
          </cell>
          <cell r="J12">
            <v>0.53</v>
          </cell>
          <cell r="L12">
            <v>0</v>
          </cell>
          <cell r="P12">
            <v>0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0.84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1.64</v>
          </cell>
          <cell r="L14">
            <v>0</v>
          </cell>
          <cell r="P14">
            <v>0</v>
          </cell>
          <cell r="R14">
            <v>0</v>
          </cell>
        </row>
      </sheetData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2"/>
      <sheetName val="April 2022 "/>
      <sheetName val="May 2022"/>
      <sheetName val="June 2022"/>
      <sheetName val="July 2022"/>
      <sheetName val="Aug 2022  "/>
      <sheetName val="Sep 2022"/>
      <sheetName val="Oct 2022"/>
      <sheetName val="Nov 2022"/>
      <sheetName val="Dec 2022"/>
      <sheetName val="Jan 2023"/>
      <sheetName val="HT"/>
    </sheetNames>
    <sheetDataSet>
      <sheetData sheetId="0"/>
      <sheetData sheetId="1"/>
      <sheetData sheetId="2">
        <row r="7">
          <cell r="E7">
            <v>0</v>
          </cell>
          <cell r="G7">
            <v>0</v>
          </cell>
          <cell r="H7">
            <v>90.039999999999978</v>
          </cell>
          <cell r="K7">
            <v>3.3220000000000001</v>
          </cell>
          <cell r="M7">
            <v>0</v>
          </cell>
          <cell r="N7">
            <v>587.53899999999987</v>
          </cell>
          <cell r="Q7">
            <v>0</v>
          </cell>
          <cell r="S7">
            <v>1.01</v>
          </cell>
          <cell r="T7">
            <v>8.436000000000007</v>
          </cell>
        </row>
        <row r="8">
          <cell r="E8">
            <v>0</v>
          </cell>
          <cell r="G8">
            <v>0</v>
          </cell>
          <cell r="H8">
            <v>265.39</v>
          </cell>
          <cell r="K8">
            <v>2.895</v>
          </cell>
          <cell r="M8">
            <v>0</v>
          </cell>
          <cell r="N8">
            <v>314.875</v>
          </cell>
          <cell r="Q8">
            <v>0</v>
          </cell>
          <cell r="S8">
            <v>0</v>
          </cell>
          <cell r="T8">
            <v>66.290000000000006</v>
          </cell>
        </row>
        <row r="9">
          <cell r="E9">
            <v>0</v>
          </cell>
          <cell r="G9">
            <v>0</v>
          </cell>
          <cell r="H9">
            <v>209.16</v>
          </cell>
          <cell r="K9">
            <v>39.819999999999993</v>
          </cell>
          <cell r="M9">
            <v>0</v>
          </cell>
          <cell r="N9">
            <v>740.84800000000007</v>
          </cell>
          <cell r="Q9">
            <v>0</v>
          </cell>
          <cell r="S9">
            <v>0</v>
          </cell>
          <cell r="T9">
            <v>44.739999999999995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2.125</v>
          </cell>
          <cell r="M10">
            <v>0</v>
          </cell>
          <cell r="N10">
            <v>344.49999999999994</v>
          </cell>
          <cell r="Q10">
            <v>0</v>
          </cell>
          <cell r="S10">
            <v>0</v>
          </cell>
          <cell r="T10">
            <v>0.20000000000000007</v>
          </cell>
        </row>
        <row r="12">
          <cell r="E12">
            <v>0</v>
          </cell>
          <cell r="G12">
            <v>0</v>
          </cell>
          <cell r="H12">
            <v>355.3099999999996</v>
          </cell>
          <cell r="K12">
            <v>46.36</v>
          </cell>
          <cell r="M12">
            <v>0</v>
          </cell>
          <cell r="N12">
            <v>851.06499999999994</v>
          </cell>
          <cell r="Q12">
            <v>0</v>
          </cell>
          <cell r="S12">
            <v>0</v>
          </cell>
          <cell r="T12">
            <v>36.850000000000009</v>
          </cell>
        </row>
        <row r="13">
          <cell r="E13">
            <v>0</v>
          </cell>
          <cell r="G13">
            <v>0</v>
          </cell>
          <cell r="H13">
            <v>312.23000000000013</v>
          </cell>
          <cell r="K13">
            <v>2.41</v>
          </cell>
          <cell r="M13">
            <v>0</v>
          </cell>
          <cell r="N13">
            <v>530.94200000000023</v>
          </cell>
          <cell r="Q13">
            <v>0</v>
          </cell>
          <cell r="S13">
            <v>0</v>
          </cell>
          <cell r="T13">
            <v>68.39</v>
          </cell>
        </row>
        <row r="14">
          <cell r="E14">
            <v>0</v>
          </cell>
          <cell r="G14">
            <v>0</v>
          </cell>
          <cell r="H14">
            <v>1216.4399999999994</v>
          </cell>
          <cell r="K14">
            <v>7.56</v>
          </cell>
          <cell r="M14">
            <v>0</v>
          </cell>
          <cell r="N14">
            <v>872.34800000000018</v>
          </cell>
          <cell r="Q14">
            <v>0</v>
          </cell>
          <cell r="S14">
            <v>0</v>
          </cell>
          <cell r="T14">
            <v>61.329999999999991</v>
          </cell>
        </row>
        <row r="16">
          <cell r="E16">
            <v>0.55000000000000004</v>
          </cell>
          <cell r="G16">
            <v>0</v>
          </cell>
          <cell r="H16">
            <v>994.39400000000035</v>
          </cell>
          <cell r="K16">
            <v>27.88</v>
          </cell>
          <cell r="M16">
            <v>0</v>
          </cell>
          <cell r="N16">
            <v>326.92599999999999</v>
          </cell>
          <cell r="Q16">
            <v>0</v>
          </cell>
          <cell r="S16">
            <v>0</v>
          </cell>
          <cell r="T16">
            <v>177.41200000000003</v>
          </cell>
        </row>
        <row r="17">
          <cell r="E17">
            <v>0</v>
          </cell>
          <cell r="G17">
            <v>0</v>
          </cell>
          <cell r="H17">
            <v>6.415999999999948</v>
          </cell>
          <cell r="K17">
            <v>10.99</v>
          </cell>
          <cell r="M17">
            <v>0</v>
          </cell>
          <cell r="N17">
            <v>522.74000000000012</v>
          </cell>
          <cell r="Q17">
            <v>0</v>
          </cell>
          <cell r="S17">
            <v>0</v>
          </cell>
          <cell r="T17">
            <v>6.33</v>
          </cell>
        </row>
        <row r="18">
          <cell r="E18">
            <v>0.24</v>
          </cell>
          <cell r="G18">
            <v>0</v>
          </cell>
          <cell r="H18">
            <v>76.226000000000099</v>
          </cell>
          <cell r="K18">
            <v>1.07</v>
          </cell>
          <cell r="M18">
            <v>0</v>
          </cell>
          <cell r="N18">
            <v>486.60699999999997</v>
          </cell>
          <cell r="Q18">
            <v>0</v>
          </cell>
          <cell r="S18">
            <v>0</v>
          </cell>
          <cell r="T18">
            <v>38.869999999999997</v>
          </cell>
        </row>
        <row r="20">
          <cell r="E20">
            <v>1.1200000000000001</v>
          </cell>
          <cell r="G20">
            <v>0</v>
          </cell>
          <cell r="H20">
            <v>631.68999999999983</v>
          </cell>
          <cell r="K20">
            <v>3.92</v>
          </cell>
          <cell r="M20">
            <v>1.04</v>
          </cell>
          <cell r="N20">
            <v>402.06800000000015</v>
          </cell>
          <cell r="Q20">
            <v>0</v>
          </cell>
          <cell r="S20">
            <v>0</v>
          </cell>
          <cell r="T20">
            <v>40.350000000000009</v>
          </cell>
        </row>
        <row r="21">
          <cell r="E21">
            <v>0</v>
          </cell>
          <cell r="G21">
            <v>0</v>
          </cell>
          <cell r="H21">
            <v>22.51</v>
          </cell>
          <cell r="K21">
            <v>17.63</v>
          </cell>
          <cell r="M21">
            <v>0</v>
          </cell>
          <cell r="N21">
            <v>415.74700000000001</v>
          </cell>
          <cell r="Q21">
            <v>0</v>
          </cell>
          <cell r="S21">
            <v>0</v>
          </cell>
          <cell r="T21">
            <v>19.369999999999997</v>
          </cell>
        </row>
        <row r="22">
          <cell r="E22">
            <v>0</v>
          </cell>
          <cell r="G22">
            <v>0</v>
          </cell>
          <cell r="H22">
            <v>22.430000000000021</v>
          </cell>
          <cell r="K22">
            <v>1.71</v>
          </cell>
          <cell r="M22">
            <v>0.08</v>
          </cell>
          <cell r="N22">
            <v>690.59999999999991</v>
          </cell>
          <cell r="Q22">
            <v>0</v>
          </cell>
          <cell r="S22">
            <v>0</v>
          </cell>
          <cell r="T22">
            <v>0.60000000000000098</v>
          </cell>
        </row>
        <row r="23">
          <cell r="E23">
            <v>3.4</v>
          </cell>
          <cell r="G23">
            <v>0</v>
          </cell>
          <cell r="H23">
            <v>430.64</v>
          </cell>
          <cell r="K23">
            <v>15.51</v>
          </cell>
          <cell r="M23">
            <v>0</v>
          </cell>
          <cell r="N23">
            <v>117.395</v>
          </cell>
          <cell r="Q23">
            <v>0</v>
          </cell>
          <cell r="S23">
            <v>0</v>
          </cell>
          <cell r="T23">
            <v>22.5</v>
          </cell>
        </row>
        <row r="26">
          <cell r="E26">
            <v>7.83</v>
          </cell>
          <cell r="G26">
            <v>0</v>
          </cell>
          <cell r="H26">
            <v>1560.8099999999997</v>
          </cell>
          <cell r="K26">
            <v>0.15</v>
          </cell>
          <cell r="M26">
            <v>0</v>
          </cell>
          <cell r="N26">
            <v>67.48</v>
          </cell>
          <cell r="Q26">
            <v>0</v>
          </cell>
          <cell r="S26">
            <v>0</v>
          </cell>
          <cell r="T26">
            <v>16.11</v>
          </cell>
        </row>
        <row r="27">
          <cell r="E27">
            <v>21.57</v>
          </cell>
          <cell r="G27">
            <v>0</v>
          </cell>
          <cell r="H27">
            <v>5598.2750000000024</v>
          </cell>
          <cell r="K27">
            <v>2.8600000000000003</v>
          </cell>
          <cell r="M27">
            <v>0</v>
          </cell>
          <cell r="N27">
            <v>597.048</v>
          </cell>
          <cell r="Q27">
            <v>0</v>
          </cell>
          <cell r="S27">
            <v>0</v>
          </cell>
          <cell r="T27">
            <v>33.49</v>
          </cell>
        </row>
        <row r="29">
          <cell r="E29">
            <v>5.85</v>
          </cell>
          <cell r="G29">
            <v>0</v>
          </cell>
          <cell r="H29">
            <v>4460.3180000000011</v>
          </cell>
          <cell r="K29">
            <v>0</v>
          </cell>
          <cell r="M29">
            <v>0</v>
          </cell>
          <cell r="N29">
            <v>151.81</v>
          </cell>
          <cell r="Q29">
            <v>0</v>
          </cell>
          <cell r="S29">
            <v>23.2</v>
          </cell>
          <cell r="T29">
            <v>34.52000000000001</v>
          </cell>
        </row>
        <row r="30">
          <cell r="E30">
            <v>20.740000000000002</v>
          </cell>
          <cell r="G30">
            <v>0</v>
          </cell>
          <cell r="H30">
            <v>3596.11</v>
          </cell>
          <cell r="K30">
            <v>0</v>
          </cell>
          <cell r="M30">
            <v>0</v>
          </cell>
          <cell r="N30">
            <v>41.697000000000003</v>
          </cell>
          <cell r="Q30">
            <v>0</v>
          </cell>
          <cell r="S30">
            <v>0</v>
          </cell>
          <cell r="T30">
            <v>23.25</v>
          </cell>
        </row>
        <row r="31">
          <cell r="E31">
            <v>11.66</v>
          </cell>
          <cell r="G31">
            <v>0</v>
          </cell>
          <cell r="H31">
            <v>4601.6590000000006</v>
          </cell>
          <cell r="K31">
            <v>0</v>
          </cell>
          <cell r="M31">
            <v>0</v>
          </cell>
          <cell r="N31">
            <v>86.710000000000022</v>
          </cell>
          <cell r="Q31">
            <v>0</v>
          </cell>
          <cell r="S31">
            <v>0</v>
          </cell>
          <cell r="T31">
            <v>14.850000000000001</v>
          </cell>
        </row>
        <row r="32">
          <cell r="E32">
            <v>7.15</v>
          </cell>
          <cell r="G32">
            <v>9.7200000000000006</v>
          </cell>
          <cell r="H32">
            <v>2340.2857999999992</v>
          </cell>
          <cell r="K32">
            <v>1.6</v>
          </cell>
          <cell r="M32">
            <v>0</v>
          </cell>
          <cell r="N32">
            <v>393.43599999999998</v>
          </cell>
          <cell r="Q32">
            <v>0</v>
          </cell>
          <cell r="S32">
            <v>0</v>
          </cell>
          <cell r="T32">
            <v>67.551999999999992</v>
          </cell>
        </row>
        <row r="34">
          <cell r="E34">
            <v>51.769999999999996</v>
          </cell>
          <cell r="G34">
            <v>0</v>
          </cell>
          <cell r="H34">
            <v>4490.87</v>
          </cell>
          <cell r="K34">
            <v>22.14</v>
          </cell>
          <cell r="M34">
            <v>0</v>
          </cell>
          <cell r="N34">
            <v>22.14</v>
          </cell>
          <cell r="Q34">
            <v>72.7</v>
          </cell>
          <cell r="S34">
            <v>0</v>
          </cell>
          <cell r="T34">
            <v>72.7</v>
          </cell>
        </row>
        <row r="35">
          <cell r="E35">
            <v>96.35</v>
          </cell>
          <cell r="G35">
            <v>0</v>
          </cell>
          <cell r="H35">
            <v>6305.9299999999976</v>
          </cell>
          <cell r="K35">
            <v>26.26</v>
          </cell>
          <cell r="M35">
            <v>0</v>
          </cell>
          <cell r="N35">
            <v>33.18</v>
          </cell>
          <cell r="Q35">
            <v>32.380000000000003</v>
          </cell>
          <cell r="S35">
            <v>0</v>
          </cell>
          <cell r="T35">
            <v>90.800000000000011</v>
          </cell>
        </row>
        <row r="36">
          <cell r="E36">
            <v>51.27</v>
          </cell>
          <cell r="G36">
            <v>0</v>
          </cell>
          <cell r="H36">
            <v>3502.37</v>
          </cell>
          <cell r="K36">
            <v>0</v>
          </cell>
          <cell r="M36">
            <v>4.63</v>
          </cell>
          <cell r="N36">
            <v>25.05000000000004</v>
          </cell>
          <cell r="Q36">
            <v>19.29</v>
          </cell>
          <cell r="S36">
            <v>0</v>
          </cell>
          <cell r="T36">
            <v>36.379999999999995</v>
          </cell>
        </row>
        <row r="37">
          <cell r="E37">
            <v>37.749999999999993</v>
          </cell>
          <cell r="G37">
            <v>0</v>
          </cell>
          <cell r="H37">
            <v>4825.8699999999972</v>
          </cell>
          <cell r="K37">
            <v>0</v>
          </cell>
          <cell r="M37">
            <v>1.06</v>
          </cell>
          <cell r="N37">
            <v>12.430000000000001</v>
          </cell>
          <cell r="Q37">
            <v>0</v>
          </cell>
          <cell r="S37">
            <v>3.46</v>
          </cell>
          <cell r="T37">
            <v>3.0599999999999996</v>
          </cell>
        </row>
        <row r="40">
          <cell r="E40">
            <v>139.58000000000001</v>
          </cell>
          <cell r="G40">
            <v>0</v>
          </cell>
          <cell r="H40">
            <v>11530.023999999999</v>
          </cell>
          <cell r="K40">
            <v>0</v>
          </cell>
          <cell r="M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144.32</v>
          </cell>
          <cell r="G41">
            <v>0</v>
          </cell>
          <cell r="H41">
            <v>7642.3569999999945</v>
          </cell>
          <cell r="K41">
            <v>0</v>
          </cell>
          <cell r="M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24.35</v>
          </cell>
          <cell r="G42">
            <v>0</v>
          </cell>
          <cell r="H42">
            <v>13829.788999999995</v>
          </cell>
          <cell r="K42">
            <v>0</v>
          </cell>
          <cell r="M42">
            <v>0</v>
          </cell>
          <cell r="Q42">
            <v>0</v>
          </cell>
          <cell r="S42">
            <v>0</v>
          </cell>
          <cell r="T42">
            <v>39.019999999999996</v>
          </cell>
        </row>
        <row r="43">
          <cell r="E43">
            <v>11.36</v>
          </cell>
          <cell r="G43">
            <v>0</v>
          </cell>
          <cell r="H43">
            <v>3978.8400000000011</v>
          </cell>
          <cell r="K43">
            <v>0</v>
          </cell>
          <cell r="M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32.56</v>
          </cell>
          <cell r="G45">
            <v>0</v>
          </cell>
          <cell r="H45">
            <v>8455.8821000000007</v>
          </cell>
          <cell r="K45">
            <v>0.22</v>
          </cell>
          <cell r="M45">
            <v>0</v>
          </cell>
          <cell r="N45">
            <v>16.979999999999997</v>
          </cell>
          <cell r="Q45">
            <v>0</v>
          </cell>
          <cell r="S45">
            <v>0</v>
          </cell>
          <cell r="T45">
            <v>14.75</v>
          </cell>
        </row>
        <row r="46">
          <cell r="E46">
            <v>26.35</v>
          </cell>
          <cell r="G46">
            <v>0</v>
          </cell>
          <cell r="H46">
            <v>7764.8450000000021</v>
          </cell>
          <cell r="K46">
            <v>0</v>
          </cell>
          <cell r="M46">
            <v>0</v>
          </cell>
          <cell r="N46">
            <v>0</v>
          </cell>
          <cell r="Q46">
            <v>0</v>
          </cell>
          <cell r="S46">
            <v>0</v>
          </cell>
          <cell r="T46">
            <v>0</v>
          </cell>
        </row>
        <row r="47">
          <cell r="E47">
            <v>77.150000000000006</v>
          </cell>
          <cell r="G47">
            <v>0</v>
          </cell>
          <cell r="H47">
            <v>8861.7900000000009</v>
          </cell>
          <cell r="K47">
            <v>0</v>
          </cell>
          <cell r="M47">
            <v>0</v>
          </cell>
          <cell r="N47">
            <v>3.13</v>
          </cell>
          <cell r="Q47">
            <v>0</v>
          </cell>
          <cell r="S47">
            <v>0</v>
          </cell>
          <cell r="T47">
            <v>0.03</v>
          </cell>
        </row>
        <row r="48">
          <cell r="E48">
            <v>357.69</v>
          </cell>
          <cell r="G48">
            <v>0</v>
          </cell>
          <cell r="H48">
            <v>8554.4789999999994</v>
          </cell>
          <cell r="K48">
            <v>0</v>
          </cell>
          <cell r="M48">
            <v>0</v>
          </cell>
          <cell r="N48">
            <v>5.0249999999999995</v>
          </cell>
          <cell r="Q48">
            <v>4.21</v>
          </cell>
          <cell r="S48">
            <v>0</v>
          </cell>
          <cell r="T48">
            <v>4.21</v>
          </cell>
        </row>
      </sheetData>
      <sheetData sheetId="3">
        <row r="7">
          <cell r="D7">
            <v>0</v>
          </cell>
          <cell r="F7">
            <v>0</v>
          </cell>
          <cell r="J7">
            <v>2.907</v>
          </cell>
          <cell r="L7">
            <v>0</v>
          </cell>
          <cell r="P7">
            <v>0</v>
          </cell>
          <cell r="R7">
            <v>0</v>
          </cell>
        </row>
        <row r="8">
          <cell r="D8">
            <v>0</v>
          </cell>
          <cell r="F8">
            <v>0</v>
          </cell>
          <cell r="J8">
            <v>11.23</v>
          </cell>
          <cell r="L8">
            <v>0</v>
          </cell>
          <cell r="P8">
            <v>0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1.58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2.59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0</v>
          </cell>
          <cell r="J12">
            <v>0.66</v>
          </cell>
          <cell r="L12">
            <v>0</v>
          </cell>
          <cell r="P12">
            <v>0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0.7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1.95</v>
          </cell>
          <cell r="L14">
            <v>0</v>
          </cell>
          <cell r="P14">
            <v>0</v>
          </cell>
          <cell r="R14">
            <v>0</v>
          </cell>
        </row>
        <row r="16">
          <cell r="D16">
            <v>0.66</v>
          </cell>
          <cell r="F16">
            <v>7.75</v>
          </cell>
          <cell r="J16">
            <v>24.84</v>
          </cell>
          <cell r="L16">
            <v>0</v>
          </cell>
          <cell r="P16">
            <v>0</v>
          </cell>
          <cell r="R16">
            <v>0</v>
          </cell>
        </row>
        <row r="17">
          <cell r="D17">
            <v>0</v>
          </cell>
          <cell r="F17">
            <v>3.74</v>
          </cell>
          <cell r="J17">
            <v>39.35</v>
          </cell>
          <cell r="L17">
            <v>0</v>
          </cell>
          <cell r="P17">
            <v>0.61</v>
          </cell>
          <cell r="R17">
            <v>5.7</v>
          </cell>
        </row>
        <row r="18">
          <cell r="D18">
            <v>0</v>
          </cell>
          <cell r="F18">
            <v>0</v>
          </cell>
          <cell r="J18">
            <v>1.65</v>
          </cell>
          <cell r="L18">
            <v>0</v>
          </cell>
          <cell r="P18">
            <v>0</v>
          </cell>
          <cell r="R18">
            <v>0</v>
          </cell>
        </row>
        <row r="20">
          <cell r="D20">
            <v>0.23</v>
          </cell>
          <cell r="F20">
            <v>24.91</v>
          </cell>
          <cell r="J20">
            <v>317.45</v>
          </cell>
          <cell r="L20">
            <v>0</v>
          </cell>
          <cell r="P20">
            <v>0</v>
          </cell>
          <cell r="R20">
            <v>2.77</v>
          </cell>
        </row>
        <row r="21">
          <cell r="D21">
            <v>0</v>
          </cell>
          <cell r="F21">
            <v>0</v>
          </cell>
          <cell r="J21">
            <v>1.19</v>
          </cell>
          <cell r="L21">
            <v>0</v>
          </cell>
          <cell r="P21">
            <v>0</v>
          </cell>
          <cell r="R21">
            <v>0</v>
          </cell>
        </row>
        <row r="22">
          <cell r="D22">
            <v>0</v>
          </cell>
          <cell r="F22">
            <v>0</v>
          </cell>
          <cell r="J22">
            <v>1.19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0</v>
          </cell>
          <cell r="F23">
            <v>0</v>
          </cell>
          <cell r="J23">
            <v>1.47</v>
          </cell>
          <cell r="L23">
            <v>0</v>
          </cell>
          <cell r="P23">
            <v>0</v>
          </cell>
          <cell r="R23">
            <v>0</v>
          </cell>
        </row>
        <row r="26">
          <cell r="D26">
            <v>7.51</v>
          </cell>
          <cell r="F26">
            <v>0</v>
          </cell>
          <cell r="J26">
            <v>0.05</v>
          </cell>
          <cell r="L26">
            <v>0</v>
          </cell>
          <cell r="P26">
            <v>0</v>
          </cell>
          <cell r="R26">
            <v>0</v>
          </cell>
        </row>
        <row r="27">
          <cell r="D27">
            <v>17.04</v>
          </cell>
          <cell r="F27">
            <v>0</v>
          </cell>
          <cell r="J27">
            <v>0.65</v>
          </cell>
          <cell r="L27">
            <v>0</v>
          </cell>
          <cell r="P27">
            <v>0</v>
          </cell>
          <cell r="R27">
            <v>0</v>
          </cell>
        </row>
        <row r="29">
          <cell r="D29">
            <v>13.03</v>
          </cell>
          <cell r="F29">
            <v>0</v>
          </cell>
          <cell r="J29">
            <v>0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7.24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1.0900000000000001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3.46</v>
          </cell>
          <cell r="F32">
            <v>0</v>
          </cell>
          <cell r="J32">
            <v>1.18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16.920000000000002</v>
          </cell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40.479999999999997</v>
          </cell>
          <cell r="F35">
            <v>0</v>
          </cell>
          <cell r="J35">
            <v>0.5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31.51</v>
          </cell>
          <cell r="F36">
            <v>0</v>
          </cell>
          <cell r="J36">
            <v>5.2</v>
          </cell>
          <cell r="L36">
            <v>0</v>
          </cell>
          <cell r="P36">
            <v>0</v>
          </cell>
          <cell r="R36">
            <v>0</v>
          </cell>
        </row>
        <row r="37">
          <cell r="D37">
            <v>28.7</v>
          </cell>
          <cell r="F37">
            <v>0</v>
          </cell>
          <cell r="J37">
            <v>14.27</v>
          </cell>
          <cell r="L37">
            <v>0</v>
          </cell>
          <cell r="P37">
            <v>0</v>
          </cell>
          <cell r="R37">
            <v>0</v>
          </cell>
        </row>
        <row r="40">
          <cell r="D40">
            <v>47.22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95.28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11.5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6.36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16.89</v>
          </cell>
          <cell r="F45">
            <v>0</v>
          </cell>
          <cell r="J45">
            <v>0</v>
          </cell>
          <cell r="L45">
            <v>0</v>
          </cell>
          <cell r="P45">
            <v>0</v>
          </cell>
          <cell r="R45">
            <v>0</v>
          </cell>
        </row>
        <row r="46">
          <cell r="D46">
            <v>8</v>
          </cell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D47">
            <v>42.28</v>
          </cell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16.87</v>
          </cell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2"/>
      <sheetName val="April 2022 "/>
      <sheetName val="May 2022"/>
      <sheetName val="June 2022"/>
      <sheetName val="July 2022"/>
      <sheetName val="Aug 2022  "/>
      <sheetName val="Sep 2022"/>
      <sheetName val="Oct 2022"/>
      <sheetName val="Nov 2022"/>
      <sheetName val="Dec 2022"/>
      <sheetName val="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E7">
            <v>0</v>
          </cell>
          <cell r="G7">
            <v>82.86</v>
          </cell>
          <cell r="H7">
            <v>7.179999999999982</v>
          </cell>
          <cell r="K7">
            <v>105.90899999999999</v>
          </cell>
          <cell r="M7">
            <v>0</v>
          </cell>
          <cell r="N7">
            <v>690.12599999999975</v>
          </cell>
          <cell r="Q7">
            <v>0</v>
          </cell>
          <cell r="S7">
            <v>1.01</v>
          </cell>
          <cell r="T7">
            <v>8.436000000000007</v>
          </cell>
        </row>
        <row r="8">
          <cell r="E8">
            <v>0</v>
          </cell>
          <cell r="G8">
            <v>0</v>
          </cell>
          <cell r="H8">
            <v>265.39</v>
          </cell>
          <cell r="K8">
            <v>53.400000000000006</v>
          </cell>
          <cell r="M8">
            <v>0</v>
          </cell>
          <cell r="N8">
            <v>365.38000000000005</v>
          </cell>
          <cell r="Q8">
            <v>0</v>
          </cell>
          <cell r="S8">
            <v>0</v>
          </cell>
          <cell r="T8">
            <v>66.290000000000006</v>
          </cell>
        </row>
        <row r="9">
          <cell r="E9">
            <v>0</v>
          </cell>
          <cell r="G9">
            <v>0</v>
          </cell>
          <cell r="H9">
            <v>209.16</v>
          </cell>
          <cell r="K9">
            <v>115.16999999999999</v>
          </cell>
          <cell r="M9">
            <v>0</v>
          </cell>
          <cell r="N9">
            <v>871.71800000000007</v>
          </cell>
          <cell r="Q9">
            <v>0</v>
          </cell>
          <cell r="S9">
            <v>0</v>
          </cell>
          <cell r="T9">
            <v>44.739999999999995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8.8850000000000016</v>
          </cell>
          <cell r="M10">
            <v>0</v>
          </cell>
          <cell r="N10">
            <v>351.25999999999993</v>
          </cell>
          <cell r="Q10">
            <v>0</v>
          </cell>
          <cell r="S10">
            <v>0</v>
          </cell>
          <cell r="T10">
            <v>0.20000000000000007</v>
          </cell>
        </row>
        <row r="12">
          <cell r="E12">
            <v>0</v>
          </cell>
          <cell r="G12">
            <v>213.31</v>
          </cell>
          <cell r="H12">
            <v>141.9999999999996</v>
          </cell>
          <cell r="K12">
            <v>238.57999999999998</v>
          </cell>
          <cell r="M12">
            <v>0</v>
          </cell>
          <cell r="N12">
            <v>1149.3249999999998</v>
          </cell>
          <cell r="Q12">
            <v>0</v>
          </cell>
          <cell r="S12">
            <v>14.01</v>
          </cell>
          <cell r="T12">
            <v>22.840000000000011</v>
          </cell>
        </row>
        <row r="13">
          <cell r="E13">
            <v>0</v>
          </cell>
          <cell r="G13">
            <v>0</v>
          </cell>
          <cell r="H13">
            <v>312.23000000000013</v>
          </cell>
          <cell r="K13">
            <v>9.4600000000000009</v>
          </cell>
          <cell r="M13">
            <v>0.7</v>
          </cell>
          <cell r="N13">
            <v>537.29200000000014</v>
          </cell>
          <cell r="Q13">
            <v>0</v>
          </cell>
          <cell r="S13">
            <v>0</v>
          </cell>
          <cell r="T13">
            <v>68.39</v>
          </cell>
        </row>
        <row r="14">
          <cell r="E14">
            <v>0</v>
          </cell>
          <cell r="G14">
            <v>0</v>
          </cell>
          <cell r="H14">
            <v>1216.4399999999994</v>
          </cell>
          <cell r="K14">
            <v>24.94</v>
          </cell>
          <cell r="M14">
            <v>0</v>
          </cell>
          <cell r="N14">
            <v>889.72800000000018</v>
          </cell>
          <cell r="Q14">
            <v>0</v>
          </cell>
          <cell r="S14">
            <v>0</v>
          </cell>
          <cell r="T14">
            <v>61.329999999999991</v>
          </cell>
        </row>
        <row r="16">
          <cell r="E16">
            <v>5.34</v>
          </cell>
          <cell r="G16">
            <v>208.32</v>
          </cell>
          <cell r="H16">
            <v>790.86400000000037</v>
          </cell>
          <cell r="K16">
            <v>273.22999999999996</v>
          </cell>
          <cell r="M16">
            <v>0</v>
          </cell>
          <cell r="N16">
            <v>572.27600000000007</v>
          </cell>
          <cell r="Q16">
            <v>0</v>
          </cell>
          <cell r="S16">
            <v>0</v>
          </cell>
          <cell r="T16">
            <v>177.41200000000003</v>
          </cell>
        </row>
        <row r="17">
          <cell r="E17">
            <v>0</v>
          </cell>
          <cell r="G17">
            <v>3.74</v>
          </cell>
          <cell r="H17">
            <v>2.6759999999999478</v>
          </cell>
          <cell r="K17">
            <v>65.510000000000005</v>
          </cell>
          <cell r="M17">
            <v>0</v>
          </cell>
          <cell r="N17">
            <v>577.26</v>
          </cell>
          <cell r="Q17">
            <v>1.3399999999999999</v>
          </cell>
          <cell r="S17">
            <v>5.7</v>
          </cell>
          <cell r="T17">
            <v>1.9700000000000002</v>
          </cell>
        </row>
        <row r="18">
          <cell r="E18">
            <v>1.25</v>
          </cell>
          <cell r="G18">
            <v>0</v>
          </cell>
          <cell r="H18">
            <v>137.02600000000012</v>
          </cell>
          <cell r="K18">
            <v>6.7600000000000007</v>
          </cell>
          <cell r="M18">
            <v>0.34</v>
          </cell>
          <cell r="N18">
            <v>493.48700000000002</v>
          </cell>
          <cell r="Q18">
            <v>0.89999999999999991</v>
          </cell>
          <cell r="S18">
            <v>0</v>
          </cell>
          <cell r="T18">
            <v>39.769999999999989</v>
          </cell>
        </row>
        <row r="20">
          <cell r="E20">
            <v>1.62</v>
          </cell>
          <cell r="G20">
            <v>24.91</v>
          </cell>
          <cell r="H20">
            <v>607.27999999999986</v>
          </cell>
          <cell r="K20">
            <v>331.04</v>
          </cell>
          <cell r="M20">
            <v>1.04</v>
          </cell>
          <cell r="N20">
            <v>729.18800000000022</v>
          </cell>
          <cell r="Q20">
            <v>0</v>
          </cell>
          <cell r="S20">
            <v>2.77</v>
          </cell>
          <cell r="T20">
            <v>37.580000000000005</v>
          </cell>
        </row>
        <row r="21">
          <cell r="E21">
            <v>0</v>
          </cell>
          <cell r="G21">
            <v>0</v>
          </cell>
          <cell r="H21">
            <v>22.51</v>
          </cell>
          <cell r="K21">
            <v>24.48</v>
          </cell>
          <cell r="M21">
            <v>0</v>
          </cell>
          <cell r="N21">
            <v>422.59700000000009</v>
          </cell>
          <cell r="Q21">
            <v>0.12</v>
          </cell>
          <cell r="S21">
            <v>0</v>
          </cell>
          <cell r="T21">
            <v>19.489999999999998</v>
          </cell>
        </row>
        <row r="22">
          <cell r="E22">
            <v>0</v>
          </cell>
          <cell r="G22">
            <v>0</v>
          </cell>
          <cell r="H22">
            <v>22.430000000000021</v>
          </cell>
          <cell r="K22">
            <v>6.3599999999999994</v>
          </cell>
          <cell r="M22">
            <v>0.08</v>
          </cell>
          <cell r="N22">
            <v>695.25000000000011</v>
          </cell>
          <cell r="Q22">
            <v>0</v>
          </cell>
          <cell r="S22">
            <v>0</v>
          </cell>
          <cell r="T22">
            <v>0.60000000000000098</v>
          </cell>
        </row>
        <row r="23">
          <cell r="E23">
            <v>3.4</v>
          </cell>
          <cell r="G23">
            <v>0</v>
          </cell>
          <cell r="H23">
            <v>430.64</v>
          </cell>
          <cell r="K23">
            <v>23.44</v>
          </cell>
          <cell r="M23">
            <v>0</v>
          </cell>
          <cell r="N23">
            <v>125.325</v>
          </cell>
          <cell r="Q23">
            <v>0</v>
          </cell>
          <cell r="S23">
            <v>0</v>
          </cell>
          <cell r="T23">
            <v>22.5</v>
          </cell>
        </row>
        <row r="26">
          <cell r="E26">
            <v>44.279999999999994</v>
          </cell>
          <cell r="G26">
            <v>0</v>
          </cell>
          <cell r="H26">
            <v>1597.26</v>
          </cell>
          <cell r="K26">
            <v>17.32</v>
          </cell>
          <cell r="M26">
            <v>0</v>
          </cell>
          <cell r="N26">
            <v>84.649999999999991</v>
          </cell>
          <cell r="Q26">
            <v>0</v>
          </cell>
          <cell r="S26">
            <v>0</v>
          </cell>
          <cell r="T26">
            <v>16.11</v>
          </cell>
        </row>
        <row r="27">
          <cell r="E27">
            <v>89.19</v>
          </cell>
          <cell r="G27">
            <v>0</v>
          </cell>
          <cell r="H27">
            <v>5665.8950000000041</v>
          </cell>
          <cell r="K27">
            <v>15.790000000000003</v>
          </cell>
          <cell r="M27">
            <v>0</v>
          </cell>
          <cell r="N27">
            <v>609.97799999999995</v>
          </cell>
          <cell r="Q27">
            <v>0.1</v>
          </cell>
          <cell r="S27">
            <v>0</v>
          </cell>
          <cell r="T27">
            <v>33.590000000000003</v>
          </cell>
        </row>
        <row r="29">
          <cell r="E29">
            <v>167.63</v>
          </cell>
          <cell r="G29">
            <v>0</v>
          </cell>
          <cell r="H29">
            <v>4826.3180000000011</v>
          </cell>
          <cell r="K29">
            <v>1.4700000000000002</v>
          </cell>
          <cell r="M29">
            <v>0</v>
          </cell>
          <cell r="N29">
            <v>120.86000000000001</v>
          </cell>
          <cell r="Q29">
            <v>0</v>
          </cell>
          <cell r="S29">
            <v>23.2</v>
          </cell>
          <cell r="T29">
            <v>34.52000000000001</v>
          </cell>
        </row>
        <row r="30">
          <cell r="E30">
            <v>51.010000000000012</v>
          </cell>
          <cell r="G30">
            <v>0</v>
          </cell>
          <cell r="H30">
            <v>3663.3499999999995</v>
          </cell>
          <cell r="K30">
            <v>88</v>
          </cell>
          <cell r="M30">
            <v>0</v>
          </cell>
          <cell r="N30">
            <v>198.58699999999999</v>
          </cell>
          <cell r="Q30">
            <v>0</v>
          </cell>
          <cell r="S30">
            <v>0</v>
          </cell>
          <cell r="T30">
            <v>23.25</v>
          </cell>
        </row>
        <row r="31">
          <cell r="E31">
            <v>26.938000000000002</v>
          </cell>
          <cell r="G31">
            <v>0</v>
          </cell>
          <cell r="H31">
            <v>4692.5170000000007</v>
          </cell>
          <cell r="K31">
            <v>0</v>
          </cell>
          <cell r="M31">
            <v>0</v>
          </cell>
          <cell r="N31">
            <v>107.63000000000002</v>
          </cell>
          <cell r="Q31">
            <v>0</v>
          </cell>
          <cell r="S31">
            <v>0</v>
          </cell>
          <cell r="T31">
            <v>14.850000000000001</v>
          </cell>
        </row>
        <row r="32">
          <cell r="E32">
            <v>19.170000000000002</v>
          </cell>
          <cell r="G32">
            <v>9.7200000000000006</v>
          </cell>
          <cell r="H32">
            <v>2352.3057999999996</v>
          </cell>
          <cell r="K32">
            <v>4.83</v>
          </cell>
          <cell r="M32">
            <v>0</v>
          </cell>
          <cell r="N32">
            <v>87.596000000000004</v>
          </cell>
          <cell r="Q32">
            <v>0</v>
          </cell>
          <cell r="S32">
            <v>0</v>
          </cell>
          <cell r="T32">
            <v>67.551999999999992</v>
          </cell>
        </row>
        <row r="34">
          <cell r="E34">
            <v>133.75999999999996</v>
          </cell>
          <cell r="G34">
            <v>9.89</v>
          </cell>
          <cell r="H34">
            <v>4562.97</v>
          </cell>
          <cell r="K34">
            <v>106.78999999999999</v>
          </cell>
          <cell r="M34">
            <v>0</v>
          </cell>
          <cell r="N34">
            <v>106.78999999999999</v>
          </cell>
          <cell r="Q34">
            <v>72.7</v>
          </cell>
          <cell r="S34">
            <v>0</v>
          </cell>
          <cell r="T34">
            <v>72.7</v>
          </cell>
        </row>
        <row r="35">
          <cell r="E35">
            <v>332.49</v>
          </cell>
          <cell r="G35">
            <v>0</v>
          </cell>
          <cell r="H35">
            <v>6542.069999999997</v>
          </cell>
          <cell r="K35">
            <v>27.21</v>
          </cell>
          <cell r="M35">
            <v>0</v>
          </cell>
          <cell r="N35">
            <v>34.130000000000003</v>
          </cell>
          <cell r="Q35">
            <v>32.380000000000003</v>
          </cell>
          <cell r="S35">
            <v>0</v>
          </cell>
          <cell r="T35">
            <v>90.800000000000011</v>
          </cell>
        </row>
        <row r="36">
          <cell r="E36">
            <v>137.09</v>
          </cell>
          <cell r="G36">
            <v>0</v>
          </cell>
          <cell r="H36">
            <v>3588.19</v>
          </cell>
          <cell r="K36">
            <v>5.2</v>
          </cell>
          <cell r="M36">
            <v>4.63</v>
          </cell>
          <cell r="N36">
            <v>30.250000000000039</v>
          </cell>
          <cell r="Q36">
            <v>19.29</v>
          </cell>
          <cell r="S36">
            <v>0</v>
          </cell>
          <cell r="T36">
            <v>36.379999999999995</v>
          </cell>
        </row>
        <row r="37">
          <cell r="E37">
            <v>230.8</v>
          </cell>
          <cell r="G37">
            <v>0</v>
          </cell>
          <cell r="H37">
            <v>5018.9199999999983</v>
          </cell>
          <cell r="K37">
            <v>14.27</v>
          </cell>
          <cell r="M37">
            <v>1.06</v>
          </cell>
          <cell r="N37">
            <v>26.700000000000003</v>
          </cell>
          <cell r="Q37">
            <v>0</v>
          </cell>
          <cell r="S37">
            <v>3.46</v>
          </cell>
          <cell r="T37">
            <v>3.0599999999999996</v>
          </cell>
        </row>
        <row r="40">
          <cell r="E40">
            <v>375.03000000000003</v>
          </cell>
          <cell r="G40">
            <v>0</v>
          </cell>
          <cell r="H40">
            <v>11765.473999999998</v>
          </cell>
          <cell r="K40">
            <v>0</v>
          </cell>
          <cell r="M40">
            <v>0</v>
          </cell>
          <cell r="N40">
            <v>198.73</v>
          </cell>
          <cell r="Q40">
            <v>73.510000000000005</v>
          </cell>
          <cell r="S40">
            <v>0</v>
          </cell>
          <cell r="T40">
            <v>73.510000000000005</v>
          </cell>
        </row>
        <row r="41">
          <cell r="E41">
            <v>708.0920000000001</v>
          </cell>
          <cell r="G41">
            <v>0</v>
          </cell>
          <cell r="H41">
            <v>8206.1289999999935</v>
          </cell>
          <cell r="K41">
            <v>0</v>
          </cell>
          <cell r="M41">
            <v>0</v>
          </cell>
          <cell r="N41">
            <v>8.67</v>
          </cell>
          <cell r="Q41">
            <v>82.42</v>
          </cell>
          <cell r="S41">
            <v>0</v>
          </cell>
          <cell r="T41">
            <v>82.42</v>
          </cell>
        </row>
        <row r="42">
          <cell r="E42">
            <v>72.410000000000011</v>
          </cell>
          <cell r="G42">
            <v>0</v>
          </cell>
          <cell r="H42">
            <v>13877.848999999995</v>
          </cell>
          <cell r="K42">
            <v>0</v>
          </cell>
          <cell r="M42">
            <v>0</v>
          </cell>
          <cell r="N42">
            <v>15.62</v>
          </cell>
          <cell r="Q42">
            <v>83.75</v>
          </cell>
          <cell r="S42">
            <v>0</v>
          </cell>
          <cell r="T42">
            <v>122.77</v>
          </cell>
        </row>
        <row r="43">
          <cell r="E43">
            <v>143.52000000000001</v>
          </cell>
          <cell r="G43">
            <v>0</v>
          </cell>
          <cell r="H43">
            <v>4111.0000000000009</v>
          </cell>
          <cell r="K43">
            <v>0</v>
          </cell>
          <cell r="M43">
            <v>0</v>
          </cell>
          <cell r="N43">
            <v>3.5</v>
          </cell>
          <cell r="Q43">
            <v>29.8</v>
          </cell>
          <cell r="S43">
            <v>0</v>
          </cell>
          <cell r="T43">
            <v>29.8</v>
          </cell>
        </row>
        <row r="45">
          <cell r="E45">
            <v>131.26</v>
          </cell>
          <cell r="G45">
            <v>0</v>
          </cell>
          <cell r="H45">
            <v>8183.2421000000004</v>
          </cell>
          <cell r="K45">
            <v>218.39999999999998</v>
          </cell>
          <cell r="M45">
            <v>0</v>
          </cell>
          <cell r="N45">
            <v>260.32</v>
          </cell>
          <cell r="Q45">
            <v>69.47</v>
          </cell>
          <cell r="S45">
            <v>0</v>
          </cell>
          <cell r="T45">
            <v>84.22</v>
          </cell>
        </row>
        <row r="46">
          <cell r="E46">
            <v>52.79</v>
          </cell>
          <cell r="G46">
            <v>0</v>
          </cell>
          <cell r="H46">
            <v>7791.2850000000026</v>
          </cell>
          <cell r="K46">
            <v>0</v>
          </cell>
          <cell r="M46">
            <v>0</v>
          </cell>
          <cell r="N46">
            <v>0</v>
          </cell>
          <cell r="Q46">
            <v>47.03</v>
          </cell>
          <cell r="S46">
            <v>0</v>
          </cell>
          <cell r="T46">
            <v>47.03</v>
          </cell>
        </row>
        <row r="47">
          <cell r="E47">
            <v>150.47000000000003</v>
          </cell>
          <cell r="G47">
            <v>0</v>
          </cell>
          <cell r="H47">
            <v>8935.1099999999988</v>
          </cell>
          <cell r="K47">
            <v>0</v>
          </cell>
          <cell r="M47">
            <v>0</v>
          </cell>
          <cell r="N47">
            <v>3.13</v>
          </cell>
          <cell r="Q47">
            <v>118.91999999999999</v>
          </cell>
          <cell r="S47">
            <v>0</v>
          </cell>
          <cell r="T47">
            <v>118.94999999999999</v>
          </cell>
        </row>
        <row r="48">
          <cell r="E48">
            <v>389.90999999999997</v>
          </cell>
          <cell r="G48">
            <v>0</v>
          </cell>
          <cell r="H48">
            <v>8586.6989999999987</v>
          </cell>
          <cell r="K48">
            <v>0</v>
          </cell>
          <cell r="M48">
            <v>0</v>
          </cell>
          <cell r="N48">
            <v>5.0249999999999995</v>
          </cell>
          <cell r="Q48">
            <v>4.21</v>
          </cell>
          <cell r="S48">
            <v>0</v>
          </cell>
          <cell r="T48">
            <v>4.21</v>
          </cell>
        </row>
      </sheetData>
      <sheetData sheetId="9" refreshError="1">
        <row r="7">
          <cell r="D7">
            <v>0</v>
          </cell>
          <cell r="F7">
            <v>0</v>
          </cell>
          <cell r="J7">
            <v>0</v>
          </cell>
          <cell r="L7">
            <v>0</v>
          </cell>
          <cell r="P7">
            <v>0</v>
          </cell>
          <cell r="R7">
            <v>0</v>
          </cell>
        </row>
        <row r="8">
          <cell r="D8">
            <v>0</v>
          </cell>
          <cell r="F8">
            <v>0</v>
          </cell>
          <cell r="J8">
            <v>10.79</v>
          </cell>
          <cell r="L8">
            <v>0</v>
          </cell>
          <cell r="P8">
            <v>0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7.73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0.52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0</v>
          </cell>
          <cell r="J12">
            <v>4.8499999999999996</v>
          </cell>
          <cell r="L12">
            <v>0</v>
          </cell>
          <cell r="P12">
            <v>0</v>
          </cell>
          <cell r="R12">
            <v>2.11</v>
          </cell>
        </row>
        <row r="13">
          <cell r="D13">
            <v>0</v>
          </cell>
          <cell r="F13">
            <v>0</v>
          </cell>
          <cell r="J13">
            <v>2.67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4.63</v>
          </cell>
          <cell r="L14">
            <v>0</v>
          </cell>
          <cell r="P14">
            <v>0</v>
          </cell>
          <cell r="R14">
            <v>0</v>
          </cell>
        </row>
        <row r="16">
          <cell r="D16">
            <v>0.56000000000000005</v>
          </cell>
          <cell r="F16">
            <v>11.23</v>
          </cell>
          <cell r="J16">
            <v>2.17</v>
          </cell>
          <cell r="L16">
            <v>0</v>
          </cell>
          <cell r="P16">
            <v>0</v>
          </cell>
          <cell r="R16">
            <v>0</v>
          </cell>
        </row>
        <row r="17">
          <cell r="D17">
            <v>0</v>
          </cell>
          <cell r="F17">
            <v>0</v>
          </cell>
          <cell r="J17">
            <v>4.75</v>
          </cell>
          <cell r="L17">
            <v>0</v>
          </cell>
          <cell r="P17">
            <v>0</v>
          </cell>
          <cell r="R17">
            <v>0.02</v>
          </cell>
        </row>
        <row r="18">
          <cell r="D18">
            <v>0.05</v>
          </cell>
          <cell r="F18">
            <v>0</v>
          </cell>
          <cell r="J18">
            <v>0.9</v>
          </cell>
          <cell r="L18">
            <v>0</v>
          </cell>
          <cell r="P18">
            <v>0</v>
          </cell>
          <cell r="R18">
            <v>0.28999999999999998</v>
          </cell>
        </row>
        <row r="20">
          <cell r="D20">
            <v>0</v>
          </cell>
          <cell r="F20">
            <v>0</v>
          </cell>
          <cell r="J20">
            <v>2.59</v>
          </cell>
          <cell r="L20">
            <v>0</v>
          </cell>
          <cell r="P20">
            <v>0</v>
          </cell>
          <cell r="R20">
            <v>0</v>
          </cell>
        </row>
        <row r="21">
          <cell r="D21">
            <v>0</v>
          </cell>
          <cell r="F21">
            <v>0</v>
          </cell>
          <cell r="J21">
            <v>1.77</v>
          </cell>
          <cell r="L21">
            <v>0</v>
          </cell>
          <cell r="P21">
            <v>0</v>
          </cell>
          <cell r="R21">
            <v>0</v>
          </cell>
        </row>
        <row r="22">
          <cell r="D22">
            <v>0</v>
          </cell>
          <cell r="F22">
            <v>0</v>
          </cell>
          <cell r="J22">
            <v>1.7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0</v>
          </cell>
          <cell r="F23">
            <v>0</v>
          </cell>
          <cell r="J23">
            <v>1.71</v>
          </cell>
          <cell r="L23">
            <v>0</v>
          </cell>
          <cell r="P23">
            <v>0</v>
          </cell>
          <cell r="R23">
            <v>0</v>
          </cell>
        </row>
        <row r="26">
          <cell r="D26">
            <v>1.98</v>
          </cell>
          <cell r="F26">
            <v>0</v>
          </cell>
          <cell r="J26">
            <v>18.329999999999998</v>
          </cell>
          <cell r="L26">
            <v>0</v>
          </cell>
          <cell r="P26">
            <v>0.15</v>
          </cell>
          <cell r="R26">
            <v>0</v>
          </cell>
        </row>
        <row r="27">
          <cell r="D27">
            <v>6.26</v>
          </cell>
          <cell r="F27">
            <v>0</v>
          </cell>
          <cell r="J27">
            <v>7.12</v>
          </cell>
          <cell r="L27">
            <v>0</v>
          </cell>
          <cell r="P27">
            <v>0</v>
          </cell>
          <cell r="R27">
            <v>0</v>
          </cell>
        </row>
        <row r="29">
          <cell r="D29">
            <v>49.180000000000007</v>
          </cell>
          <cell r="F29">
            <v>0</v>
          </cell>
          <cell r="J29">
            <v>0.23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7.77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0.03</v>
          </cell>
          <cell r="F31">
            <v>0</v>
          </cell>
          <cell r="J31">
            <v>0.06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1.37</v>
          </cell>
          <cell r="F32">
            <v>0</v>
          </cell>
          <cell r="J32">
            <v>1.1399999999999999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6.65</v>
          </cell>
          <cell r="F34">
            <v>0</v>
          </cell>
          <cell r="J34">
            <v>0.6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45.56</v>
          </cell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58.11</v>
          </cell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D37">
            <v>55.74</v>
          </cell>
          <cell r="F37">
            <v>0</v>
          </cell>
          <cell r="J37">
            <v>0</v>
          </cell>
          <cell r="L37">
            <v>0</v>
          </cell>
          <cell r="P37">
            <v>0</v>
          </cell>
          <cell r="R37">
            <v>0</v>
          </cell>
        </row>
        <row r="40">
          <cell r="D40">
            <v>22.26</v>
          </cell>
          <cell r="F40">
            <v>0</v>
          </cell>
          <cell r="J40">
            <v>0</v>
          </cell>
          <cell r="L40">
            <v>0</v>
          </cell>
          <cell r="P40">
            <v>11.14</v>
          </cell>
          <cell r="R40">
            <v>0</v>
          </cell>
        </row>
        <row r="41">
          <cell r="D41">
            <v>30.41</v>
          </cell>
          <cell r="F41">
            <v>0</v>
          </cell>
          <cell r="J41">
            <v>0</v>
          </cell>
          <cell r="L41">
            <v>0</v>
          </cell>
          <cell r="P41">
            <v>30.85</v>
          </cell>
          <cell r="R41">
            <v>0</v>
          </cell>
        </row>
        <row r="42">
          <cell r="D42">
            <v>9.5399999999999991</v>
          </cell>
          <cell r="F42">
            <v>0</v>
          </cell>
          <cell r="J42">
            <v>0</v>
          </cell>
          <cell r="L42">
            <v>0</v>
          </cell>
          <cell r="P42">
            <v>27.52</v>
          </cell>
          <cell r="R42">
            <v>0</v>
          </cell>
        </row>
        <row r="43">
          <cell r="D43">
            <v>5.62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85.3</v>
          </cell>
          <cell r="F45">
            <v>0</v>
          </cell>
          <cell r="J45">
            <v>0.59</v>
          </cell>
          <cell r="L45">
            <v>0</v>
          </cell>
          <cell r="P45">
            <v>0.05</v>
          </cell>
          <cell r="R45">
            <v>0</v>
          </cell>
        </row>
        <row r="46">
          <cell r="D46">
            <v>33.479999999999997</v>
          </cell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D47">
            <v>4.46</v>
          </cell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2.66</v>
          </cell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2"/>
      <sheetName val="April 2022 "/>
      <sheetName val="May 2022"/>
      <sheetName val="June 2022"/>
      <sheetName val="July 2022"/>
      <sheetName val="Aug 2022  "/>
      <sheetName val="Sep 2022"/>
      <sheetName val="Oct 2022"/>
      <sheetName val="Nov 2022"/>
      <sheetName val="Dec 2022"/>
      <sheetName val="Jan 2023"/>
      <sheetName val="Feb 2023"/>
      <sheetName val="March 2023"/>
      <sheetName val="HT LI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E7">
            <v>0</v>
          </cell>
          <cell r="G7">
            <v>82.86</v>
          </cell>
          <cell r="H7">
            <v>7.179999999999982</v>
          </cell>
          <cell r="K7">
            <v>105.90899999999999</v>
          </cell>
          <cell r="M7">
            <v>0</v>
          </cell>
          <cell r="N7">
            <v>690.12599999999975</v>
          </cell>
          <cell r="Q7">
            <v>0</v>
          </cell>
          <cell r="S7">
            <v>1.01</v>
          </cell>
          <cell r="T7">
            <v>8.436000000000007</v>
          </cell>
        </row>
        <row r="8">
          <cell r="E8">
            <v>0</v>
          </cell>
          <cell r="G8">
            <v>0</v>
          </cell>
          <cell r="H8">
            <v>265.39</v>
          </cell>
          <cell r="K8">
            <v>64.19</v>
          </cell>
          <cell r="M8">
            <v>0</v>
          </cell>
          <cell r="N8">
            <v>376.17000000000007</v>
          </cell>
          <cell r="Q8">
            <v>0</v>
          </cell>
          <cell r="S8">
            <v>0</v>
          </cell>
          <cell r="T8">
            <v>66.290000000000006</v>
          </cell>
        </row>
        <row r="9">
          <cell r="E9">
            <v>0</v>
          </cell>
          <cell r="G9">
            <v>0</v>
          </cell>
          <cell r="H9">
            <v>209.16</v>
          </cell>
          <cell r="K9">
            <v>178.41999999999996</v>
          </cell>
          <cell r="M9">
            <v>0</v>
          </cell>
          <cell r="N9">
            <v>879.44800000000009</v>
          </cell>
          <cell r="Q9">
            <v>0</v>
          </cell>
          <cell r="S9">
            <v>0</v>
          </cell>
          <cell r="T9">
            <v>44.739999999999995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9.4050000000000011</v>
          </cell>
          <cell r="M10">
            <v>0</v>
          </cell>
          <cell r="N10">
            <v>351.77999999999992</v>
          </cell>
          <cell r="Q10">
            <v>0</v>
          </cell>
          <cell r="S10">
            <v>0</v>
          </cell>
          <cell r="T10">
            <v>0.20000000000000007</v>
          </cell>
        </row>
        <row r="12">
          <cell r="E12">
            <v>0</v>
          </cell>
          <cell r="G12">
            <v>213.31</v>
          </cell>
          <cell r="H12">
            <v>141.9999999999996</v>
          </cell>
          <cell r="K12">
            <v>349.46999999999997</v>
          </cell>
          <cell r="M12">
            <v>0</v>
          </cell>
          <cell r="N12">
            <v>1154.1749999999997</v>
          </cell>
          <cell r="Q12">
            <v>0</v>
          </cell>
          <cell r="S12">
            <v>16.12</v>
          </cell>
          <cell r="T12">
            <v>20.730000000000011</v>
          </cell>
        </row>
        <row r="13">
          <cell r="E13">
            <v>0</v>
          </cell>
          <cell r="G13">
            <v>0</v>
          </cell>
          <cell r="H13">
            <v>312.23000000000013</v>
          </cell>
          <cell r="K13">
            <v>12.13</v>
          </cell>
          <cell r="M13">
            <v>0.7</v>
          </cell>
          <cell r="N13">
            <v>539.9620000000001</v>
          </cell>
          <cell r="Q13">
            <v>0</v>
          </cell>
          <cell r="S13">
            <v>0</v>
          </cell>
          <cell r="T13">
            <v>68.39</v>
          </cell>
        </row>
        <row r="14">
          <cell r="E14">
            <v>0</v>
          </cell>
          <cell r="G14">
            <v>0</v>
          </cell>
          <cell r="H14">
            <v>1216.4399999999994</v>
          </cell>
          <cell r="K14">
            <v>29.57</v>
          </cell>
          <cell r="M14">
            <v>0</v>
          </cell>
          <cell r="N14">
            <v>894.35800000000017</v>
          </cell>
          <cell r="Q14">
            <v>0</v>
          </cell>
          <cell r="S14">
            <v>0</v>
          </cell>
          <cell r="T14">
            <v>61.329999999999991</v>
          </cell>
        </row>
        <row r="16">
          <cell r="E16">
            <v>5.9</v>
          </cell>
          <cell r="G16">
            <v>219.54999999999998</v>
          </cell>
          <cell r="H16">
            <v>780.1940000000003</v>
          </cell>
          <cell r="K16">
            <v>275.39999999999998</v>
          </cell>
          <cell r="M16">
            <v>0</v>
          </cell>
          <cell r="N16">
            <v>574.44600000000003</v>
          </cell>
          <cell r="Q16">
            <v>0</v>
          </cell>
          <cell r="S16">
            <v>0</v>
          </cell>
          <cell r="T16">
            <v>177.41200000000003</v>
          </cell>
        </row>
        <row r="17">
          <cell r="E17">
            <v>0</v>
          </cell>
          <cell r="G17">
            <v>3.74</v>
          </cell>
          <cell r="H17">
            <v>2.6759999999999478</v>
          </cell>
          <cell r="K17">
            <v>70.260000000000005</v>
          </cell>
          <cell r="M17">
            <v>0</v>
          </cell>
          <cell r="N17">
            <v>582.01</v>
          </cell>
          <cell r="Q17">
            <v>1.3399999999999999</v>
          </cell>
          <cell r="S17">
            <v>5.72</v>
          </cell>
          <cell r="T17">
            <v>1.9500000000000002</v>
          </cell>
        </row>
        <row r="18">
          <cell r="E18">
            <v>1.3</v>
          </cell>
          <cell r="G18">
            <v>0</v>
          </cell>
          <cell r="H18">
            <v>137.07600000000014</v>
          </cell>
          <cell r="K18">
            <v>7.660000000000001</v>
          </cell>
          <cell r="M18">
            <v>0.34</v>
          </cell>
          <cell r="N18">
            <v>492.85700000000003</v>
          </cell>
          <cell r="Q18">
            <v>0.89999999999999991</v>
          </cell>
          <cell r="S18">
            <v>0.28999999999999998</v>
          </cell>
          <cell r="T18">
            <v>39.47999999999999</v>
          </cell>
        </row>
        <row r="20">
          <cell r="E20">
            <v>1.62</v>
          </cell>
          <cell r="G20">
            <v>24.91</v>
          </cell>
          <cell r="H20">
            <v>607.27999999999986</v>
          </cell>
          <cell r="K20">
            <v>333.63</v>
          </cell>
          <cell r="M20">
            <v>1.04</v>
          </cell>
          <cell r="N20">
            <v>731.77800000000025</v>
          </cell>
          <cell r="Q20">
            <v>0</v>
          </cell>
          <cell r="S20">
            <v>2.77</v>
          </cell>
          <cell r="T20">
            <v>37.580000000000005</v>
          </cell>
        </row>
        <row r="21">
          <cell r="E21">
            <v>0</v>
          </cell>
          <cell r="G21">
            <v>0</v>
          </cell>
          <cell r="H21">
            <v>22.51</v>
          </cell>
          <cell r="K21">
            <v>26.25</v>
          </cell>
          <cell r="M21">
            <v>0</v>
          </cell>
          <cell r="N21">
            <v>424.36700000000008</v>
          </cell>
          <cell r="Q21">
            <v>0.12</v>
          </cell>
          <cell r="S21">
            <v>0</v>
          </cell>
          <cell r="T21">
            <v>19.489999999999998</v>
          </cell>
        </row>
        <row r="22">
          <cell r="E22">
            <v>0</v>
          </cell>
          <cell r="G22">
            <v>0</v>
          </cell>
          <cell r="H22">
            <v>22.430000000000021</v>
          </cell>
          <cell r="K22">
            <v>8.0599999999999987</v>
          </cell>
          <cell r="M22">
            <v>0.08</v>
          </cell>
          <cell r="N22">
            <v>696.95000000000016</v>
          </cell>
          <cell r="Q22">
            <v>0</v>
          </cell>
          <cell r="S22">
            <v>0</v>
          </cell>
          <cell r="T22">
            <v>0.60000000000000098</v>
          </cell>
        </row>
        <row r="23">
          <cell r="E23">
            <v>3.4</v>
          </cell>
          <cell r="G23">
            <v>0</v>
          </cell>
          <cell r="H23">
            <v>430.64</v>
          </cell>
          <cell r="K23">
            <v>25.150000000000002</v>
          </cell>
          <cell r="M23">
            <v>0</v>
          </cell>
          <cell r="N23">
            <v>127.035</v>
          </cell>
          <cell r="Q23">
            <v>0</v>
          </cell>
          <cell r="S23">
            <v>0</v>
          </cell>
          <cell r="T23">
            <v>22.5</v>
          </cell>
        </row>
        <row r="26">
          <cell r="E26">
            <v>46.259999999999991</v>
          </cell>
          <cell r="G26">
            <v>0</v>
          </cell>
          <cell r="H26">
            <v>1599.24</v>
          </cell>
          <cell r="K26">
            <v>35.65</v>
          </cell>
          <cell r="M26">
            <v>0</v>
          </cell>
          <cell r="N26">
            <v>102.97999999999999</v>
          </cell>
          <cell r="Q26">
            <v>0.15</v>
          </cell>
          <cell r="S26">
            <v>0</v>
          </cell>
          <cell r="T26">
            <v>16.259999999999998</v>
          </cell>
        </row>
        <row r="27">
          <cell r="E27">
            <v>95.45</v>
          </cell>
          <cell r="G27">
            <v>0</v>
          </cell>
          <cell r="H27">
            <v>5672.1550000000043</v>
          </cell>
          <cell r="K27">
            <v>22.910000000000004</v>
          </cell>
          <cell r="M27">
            <v>0</v>
          </cell>
          <cell r="N27">
            <v>617.09799999999996</v>
          </cell>
          <cell r="Q27">
            <v>0.1</v>
          </cell>
          <cell r="S27">
            <v>0</v>
          </cell>
          <cell r="T27">
            <v>33.590000000000003</v>
          </cell>
        </row>
        <row r="29">
          <cell r="E29">
            <v>222.03</v>
          </cell>
          <cell r="G29">
            <v>0</v>
          </cell>
          <cell r="H29">
            <v>4875.4980000000014</v>
          </cell>
          <cell r="K29">
            <v>1.7000000000000002</v>
          </cell>
          <cell r="M29">
            <v>0</v>
          </cell>
          <cell r="N29">
            <v>121.09000000000002</v>
          </cell>
          <cell r="Q29">
            <v>0</v>
          </cell>
          <cell r="S29">
            <v>23.2</v>
          </cell>
          <cell r="T29">
            <v>34.52000000000001</v>
          </cell>
        </row>
        <row r="30">
          <cell r="E30">
            <v>58.780000000000015</v>
          </cell>
          <cell r="G30">
            <v>0</v>
          </cell>
          <cell r="H30">
            <v>3671.1199999999994</v>
          </cell>
          <cell r="K30">
            <v>88</v>
          </cell>
          <cell r="M30">
            <v>0</v>
          </cell>
          <cell r="N30">
            <v>198.58699999999999</v>
          </cell>
          <cell r="Q30">
            <v>0</v>
          </cell>
          <cell r="S30">
            <v>0</v>
          </cell>
          <cell r="T30">
            <v>23.25</v>
          </cell>
        </row>
        <row r="31">
          <cell r="E31">
            <v>26.968000000000004</v>
          </cell>
          <cell r="G31">
            <v>0</v>
          </cell>
          <cell r="H31">
            <v>4692.5470000000005</v>
          </cell>
          <cell r="K31">
            <v>0.06</v>
          </cell>
          <cell r="M31">
            <v>0</v>
          </cell>
          <cell r="N31">
            <v>107.69000000000003</v>
          </cell>
          <cell r="Q31">
            <v>0</v>
          </cell>
          <cell r="S31">
            <v>0</v>
          </cell>
          <cell r="T31">
            <v>14.850000000000001</v>
          </cell>
        </row>
        <row r="32">
          <cell r="E32">
            <v>20.540000000000003</v>
          </cell>
          <cell r="G32">
            <v>0</v>
          </cell>
          <cell r="H32">
            <v>2363.3957999999993</v>
          </cell>
          <cell r="K32">
            <v>5.97</v>
          </cell>
          <cell r="M32">
            <v>0</v>
          </cell>
          <cell r="N32">
            <v>88.736000000000004</v>
          </cell>
          <cell r="Q32">
            <v>0</v>
          </cell>
          <cell r="S32">
            <v>0</v>
          </cell>
          <cell r="T32">
            <v>67.551999999999992</v>
          </cell>
        </row>
        <row r="34">
          <cell r="E34">
            <v>140.40999999999997</v>
          </cell>
          <cell r="G34">
            <v>9.89</v>
          </cell>
          <cell r="H34">
            <v>4569.62</v>
          </cell>
          <cell r="K34">
            <v>107.38999999999999</v>
          </cell>
          <cell r="M34">
            <v>0</v>
          </cell>
          <cell r="N34">
            <v>107.38999999999999</v>
          </cell>
          <cell r="Q34">
            <v>72.7</v>
          </cell>
          <cell r="S34">
            <v>0</v>
          </cell>
          <cell r="T34">
            <v>72.7</v>
          </cell>
        </row>
        <row r="35">
          <cell r="E35">
            <v>378.05</v>
          </cell>
          <cell r="G35">
            <v>0</v>
          </cell>
          <cell r="H35">
            <v>6587.6299999999974</v>
          </cell>
          <cell r="K35">
            <v>27.21</v>
          </cell>
          <cell r="M35">
            <v>0</v>
          </cell>
          <cell r="N35">
            <v>34.130000000000003</v>
          </cell>
          <cell r="Q35">
            <v>32.380000000000003</v>
          </cell>
          <cell r="S35">
            <v>0</v>
          </cell>
          <cell r="T35">
            <v>90.800000000000011</v>
          </cell>
        </row>
        <row r="36">
          <cell r="E36">
            <v>195.2</v>
          </cell>
          <cell r="G36">
            <v>0</v>
          </cell>
          <cell r="H36">
            <v>3646.3</v>
          </cell>
          <cell r="K36">
            <v>5.2</v>
          </cell>
          <cell r="M36">
            <v>4.63</v>
          </cell>
          <cell r="N36">
            <v>30.250000000000039</v>
          </cell>
          <cell r="Q36">
            <v>19.29</v>
          </cell>
          <cell r="S36">
            <v>0</v>
          </cell>
          <cell r="T36">
            <v>36.379999999999995</v>
          </cell>
        </row>
        <row r="37">
          <cell r="E37">
            <v>286.54000000000002</v>
          </cell>
          <cell r="G37">
            <v>0</v>
          </cell>
          <cell r="H37">
            <v>5074.659999999998</v>
          </cell>
          <cell r="K37">
            <v>14.27</v>
          </cell>
          <cell r="M37">
            <v>1.06</v>
          </cell>
          <cell r="N37">
            <v>26.700000000000003</v>
          </cell>
          <cell r="Q37">
            <v>0</v>
          </cell>
          <cell r="S37">
            <v>3.46</v>
          </cell>
          <cell r="T37">
            <v>3.0599999999999996</v>
          </cell>
        </row>
        <row r="40">
          <cell r="E40">
            <v>397.29</v>
          </cell>
          <cell r="G40">
            <v>0</v>
          </cell>
          <cell r="H40">
            <v>11787.733999999999</v>
          </cell>
          <cell r="K40">
            <v>0</v>
          </cell>
          <cell r="M40">
            <v>0</v>
          </cell>
          <cell r="N40">
            <v>198.73</v>
          </cell>
          <cell r="Q40">
            <v>84.65</v>
          </cell>
          <cell r="S40">
            <v>0</v>
          </cell>
          <cell r="T40">
            <v>84.65</v>
          </cell>
        </row>
        <row r="41">
          <cell r="E41">
            <v>738.50200000000007</v>
          </cell>
          <cell r="G41">
            <v>0</v>
          </cell>
          <cell r="H41">
            <v>8236.5389999999934</v>
          </cell>
          <cell r="K41">
            <v>0</v>
          </cell>
          <cell r="M41">
            <v>0</v>
          </cell>
          <cell r="N41">
            <v>8.67</v>
          </cell>
          <cell r="Q41">
            <v>113.27000000000001</v>
          </cell>
          <cell r="S41">
            <v>0</v>
          </cell>
          <cell r="T41">
            <v>113.27000000000001</v>
          </cell>
        </row>
        <row r="42">
          <cell r="E42">
            <v>81.950000000000017</v>
          </cell>
          <cell r="G42">
            <v>0</v>
          </cell>
          <cell r="H42">
            <v>13887.388999999996</v>
          </cell>
          <cell r="K42">
            <v>0</v>
          </cell>
          <cell r="M42">
            <v>0</v>
          </cell>
          <cell r="N42">
            <v>15.62</v>
          </cell>
          <cell r="Q42">
            <v>111.27</v>
          </cell>
          <cell r="S42">
            <v>0</v>
          </cell>
          <cell r="T42">
            <v>150.29</v>
          </cell>
        </row>
        <row r="43">
          <cell r="E43">
            <v>149.14000000000001</v>
          </cell>
          <cell r="G43">
            <v>0</v>
          </cell>
          <cell r="H43">
            <v>4116.6200000000008</v>
          </cell>
          <cell r="K43">
            <v>0</v>
          </cell>
          <cell r="M43">
            <v>0</v>
          </cell>
          <cell r="N43">
            <v>3.5</v>
          </cell>
          <cell r="Q43">
            <v>29.8</v>
          </cell>
          <cell r="S43">
            <v>0</v>
          </cell>
          <cell r="T43">
            <v>29.8</v>
          </cell>
        </row>
        <row r="45">
          <cell r="E45">
            <v>216.56</v>
          </cell>
          <cell r="G45">
            <v>0</v>
          </cell>
          <cell r="H45">
            <v>8268.5421000000006</v>
          </cell>
          <cell r="K45">
            <v>218.98999999999998</v>
          </cell>
          <cell r="M45">
            <v>0</v>
          </cell>
          <cell r="N45">
            <v>260.90999999999997</v>
          </cell>
          <cell r="Q45">
            <v>69.52</v>
          </cell>
          <cell r="S45">
            <v>0</v>
          </cell>
          <cell r="T45">
            <v>84.27</v>
          </cell>
        </row>
        <row r="46">
          <cell r="E46">
            <v>86.27</v>
          </cell>
          <cell r="G46">
            <v>0</v>
          </cell>
          <cell r="H46">
            <v>7824.7650000000021</v>
          </cell>
          <cell r="K46">
            <v>0</v>
          </cell>
          <cell r="M46">
            <v>0</v>
          </cell>
          <cell r="N46">
            <v>0</v>
          </cell>
          <cell r="Q46">
            <v>47.03</v>
          </cell>
          <cell r="S46">
            <v>0</v>
          </cell>
          <cell r="T46">
            <v>47.03</v>
          </cell>
        </row>
        <row r="47">
          <cell r="E47">
            <v>154.93000000000004</v>
          </cell>
          <cell r="G47">
            <v>0</v>
          </cell>
          <cell r="H47">
            <v>8939.5699999999979</v>
          </cell>
          <cell r="K47">
            <v>0</v>
          </cell>
          <cell r="M47">
            <v>0</v>
          </cell>
          <cell r="N47">
            <v>3.13</v>
          </cell>
          <cell r="Q47">
            <v>118.91999999999999</v>
          </cell>
          <cell r="S47">
            <v>0</v>
          </cell>
          <cell r="T47">
            <v>118.94999999999999</v>
          </cell>
        </row>
        <row r="48">
          <cell r="E48">
            <v>392.57</v>
          </cell>
          <cell r="G48">
            <v>0</v>
          </cell>
          <cell r="H48">
            <v>8589.3589999999986</v>
          </cell>
          <cell r="K48">
            <v>0</v>
          </cell>
          <cell r="M48">
            <v>0</v>
          </cell>
          <cell r="N48">
            <v>5.0249999999999995</v>
          </cell>
          <cell r="Q48">
            <v>4.21</v>
          </cell>
          <cell r="S48">
            <v>0</v>
          </cell>
          <cell r="T48">
            <v>4.21</v>
          </cell>
        </row>
      </sheetData>
      <sheetData sheetId="10">
        <row r="7">
          <cell r="D7">
            <v>0</v>
          </cell>
          <cell r="F7">
            <v>0</v>
          </cell>
          <cell r="J7">
            <v>6.77</v>
          </cell>
          <cell r="L7">
            <v>0</v>
          </cell>
          <cell r="P7">
            <v>0</v>
          </cell>
          <cell r="R7">
            <v>0</v>
          </cell>
        </row>
        <row r="8">
          <cell r="D8">
            <v>0.03</v>
          </cell>
          <cell r="F8">
            <v>0</v>
          </cell>
          <cell r="J8">
            <v>10.135999999999999</v>
          </cell>
          <cell r="L8">
            <v>0</v>
          </cell>
          <cell r="P8">
            <v>0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8.9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1.294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0</v>
          </cell>
          <cell r="J12">
            <v>2.0699999999999998</v>
          </cell>
          <cell r="L12">
            <v>0</v>
          </cell>
          <cell r="P12">
            <v>2.11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2.33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3.01</v>
          </cell>
          <cell r="L14">
            <v>0</v>
          </cell>
          <cell r="P14">
            <v>0</v>
          </cell>
          <cell r="R14">
            <v>0</v>
          </cell>
        </row>
        <row r="16">
          <cell r="D16">
            <v>0.32</v>
          </cell>
          <cell r="F16">
            <v>5.41</v>
          </cell>
          <cell r="J16">
            <v>0.83</v>
          </cell>
          <cell r="L16">
            <v>0</v>
          </cell>
          <cell r="P16">
            <v>0.03</v>
          </cell>
          <cell r="R16">
            <v>0</v>
          </cell>
        </row>
        <row r="17">
          <cell r="D17">
            <v>0</v>
          </cell>
          <cell r="F17">
            <v>0</v>
          </cell>
          <cell r="J17">
            <v>1.89</v>
          </cell>
          <cell r="L17">
            <v>0</v>
          </cell>
          <cell r="P17">
            <v>0</v>
          </cell>
          <cell r="R17">
            <v>0</v>
          </cell>
        </row>
        <row r="18">
          <cell r="D18">
            <v>0.05</v>
          </cell>
          <cell r="F18">
            <v>46.86</v>
          </cell>
          <cell r="J18">
            <v>124.1</v>
          </cell>
          <cell r="L18">
            <v>0</v>
          </cell>
          <cell r="P18">
            <v>0</v>
          </cell>
          <cell r="R18">
            <v>3.79</v>
          </cell>
        </row>
        <row r="20">
          <cell r="D20">
            <v>0</v>
          </cell>
          <cell r="F20">
            <v>0</v>
          </cell>
          <cell r="J20">
            <v>2.57</v>
          </cell>
          <cell r="L20">
            <v>0</v>
          </cell>
          <cell r="P20">
            <v>0</v>
          </cell>
          <cell r="R20">
            <v>0</v>
          </cell>
        </row>
        <row r="21">
          <cell r="D21">
            <v>0</v>
          </cell>
          <cell r="F21">
            <v>20.440000000000001</v>
          </cell>
          <cell r="J21">
            <v>34.5</v>
          </cell>
          <cell r="L21">
            <v>0</v>
          </cell>
          <cell r="P21">
            <v>0</v>
          </cell>
          <cell r="R21">
            <v>0.6</v>
          </cell>
        </row>
        <row r="22">
          <cell r="D22">
            <v>0</v>
          </cell>
          <cell r="F22">
            <v>0</v>
          </cell>
          <cell r="J22">
            <v>0.7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0</v>
          </cell>
          <cell r="F23">
            <v>0</v>
          </cell>
          <cell r="J23">
            <v>3.38</v>
          </cell>
          <cell r="L23">
            <v>0</v>
          </cell>
          <cell r="P23">
            <v>0</v>
          </cell>
          <cell r="R23">
            <v>0</v>
          </cell>
        </row>
        <row r="26">
          <cell r="D26">
            <v>4.51</v>
          </cell>
          <cell r="F26">
            <v>0</v>
          </cell>
          <cell r="J26">
            <v>0</v>
          </cell>
          <cell r="L26">
            <v>0</v>
          </cell>
          <cell r="P26">
            <v>0</v>
          </cell>
          <cell r="R26">
            <v>0</v>
          </cell>
        </row>
        <row r="27">
          <cell r="D27">
            <v>3.52</v>
          </cell>
          <cell r="F27">
            <v>0</v>
          </cell>
          <cell r="J27">
            <v>3.04</v>
          </cell>
          <cell r="L27">
            <v>0</v>
          </cell>
          <cell r="P27">
            <v>0.17</v>
          </cell>
          <cell r="R27">
            <v>0</v>
          </cell>
        </row>
        <row r="29">
          <cell r="D29">
            <v>2.36</v>
          </cell>
          <cell r="F29">
            <v>0</v>
          </cell>
          <cell r="J29">
            <v>0.44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21.33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3.8450000000000002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3.33</v>
          </cell>
          <cell r="F32">
            <v>0</v>
          </cell>
          <cell r="J32">
            <v>0.62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7.25</v>
          </cell>
          <cell r="F34">
            <v>0</v>
          </cell>
          <cell r="J34">
            <v>0.69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18.510000000000002</v>
          </cell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17.100000000000001</v>
          </cell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D37">
            <v>6.29</v>
          </cell>
          <cell r="F37">
            <v>0</v>
          </cell>
          <cell r="J37">
            <v>0</v>
          </cell>
          <cell r="L37">
            <v>0</v>
          </cell>
          <cell r="P37">
            <v>0</v>
          </cell>
          <cell r="R37">
            <v>0</v>
          </cell>
        </row>
        <row r="40">
          <cell r="D40">
            <v>22.84</v>
          </cell>
          <cell r="F40">
            <v>0</v>
          </cell>
          <cell r="J40">
            <v>0</v>
          </cell>
          <cell r="L40">
            <v>0</v>
          </cell>
          <cell r="P40">
            <v>11.14</v>
          </cell>
          <cell r="R40">
            <v>0</v>
          </cell>
        </row>
        <row r="41">
          <cell r="D41">
            <v>25.79</v>
          </cell>
          <cell r="F41">
            <v>0</v>
          </cell>
          <cell r="J41">
            <v>0</v>
          </cell>
          <cell r="L41">
            <v>0</v>
          </cell>
          <cell r="P41">
            <v>14.01</v>
          </cell>
          <cell r="R41">
            <v>0</v>
          </cell>
        </row>
        <row r="42">
          <cell r="D42">
            <v>11.314</v>
          </cell>
          <cell r="F42">
            <v>0</v>
          </cell>
          <cell r="J42">
            <v>0</v>
          </cell>
          <cell r="L42">
            <v>0</v>
          </cell>
          <cell r="P42">
            <v>27.53</v>
          </cell>
          <cell r="R42">
            <v>0</v>
          </cell>
        </row>
        <row r="43">
          <cell r="D43">
            <v>6.72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59.67</v>
          </cell>
          <cell r="F45">
            <v>0</v>
          </cell>
          <cell r="J45">
            <v>0.06</v>
          </cell>
          <cell r="L45">
            <v>0</v>
          </cell>
          <cell r="P45">
            <v>0</v>
          </cell>
          <cell r="R45">
            <v>0</v>
          </cell>
        </row>
        <row r="46">
          <cell r="D46">
            <v>19.04</v>
          </cell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D47">
            <v>91.55</v>
          </cell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7.14</v>
          </cell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  <sheetData sheetId="11">
        <row r="7">
          <cell r="E7">
            <v>0</v>
          </cell>
          <cell r="G7">
            <v>82.86</v>
          </cell>
          <cell r="H7">
            <v>7.179999999999982</v>
          </cell>
          <cell r="K7">
            <v>116.00499999999998</v>
          </cell>
          <cell r="M7">
            <v>0</v>
          </cell>
          <cell r="N7">
            <v>700.22199999999975</v>
          </cell>
          <cell r="Q7">
            <v>0</v>
          </cell>
          <cell r="S7">
            <v>1.01</v>
          </cell>
          <cell r="T7">
            <v>8.436000000000007</v>
          </cell>
        </row>
        <row r="8">
          <cell r="E8">
            <v>0.06</v>
          </cell>
          <cell r="G8">
            <v>0</v>
          </cell>
          <cell r="H8">
            <v>265.44999999999993</v>
          </cell>
          <cell r="K8">
            <v>78.290999999999997</v>
          </cell>
          <cell r="M8">
            <v>0</v>
          </cell>
          <cell r="N8">
            <v>390.27100000000007</v>
          </cell>
          <cell r="Q8">
            <v>0</v>
          </cell>
          <cell r="S8">
            <v>0</v>
          </cell>
          <cell r="T8">
            <v>66.290000000000006</v>
          </cell>
        </row>
        <row r="9">
          <cell r="E9">
            <v>0</v>
          </cell>
          <cell r="G9">
            <v>0</v>
          </cell>
          <cell r="H9">
            <v>209.16</v>
          </cell>
          <cell r="K9">
            <v>198.85999999999996</v>
          </cell>
          <cell r="M9">
            <v>0</v>
          </cell>
          <cell r="N9">
            <v>899.88800000000003</v>
          </cell>
          <cell r="Q9">
            <v>0</v>
          </cell>
          <cell r="S9">
            <v>0</v>
          </cell>
          <cell r="T9">
            <v>44.739999999999995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19.968000000000004</v>
          </cell>
          <cell r="M10">
            <v>0</v>
          </cell>
          <cell r="N10">
            <v>362.3429999999999</v>
          </cell>
          <cell r="Q10">
            <v>0</v>
          </cell>
          <cell r="S10">
            <v>0</v>
          </cell>
          <cell r="T10">
            <v>0.20000000000000007</v>
          </cell>
        </row>
        <row r="12">
          <cell r="E12">
            <v>0</v>
          </cell>
          <cell r="G12">
            <v>333.13</v>
          </cell>
          <cell r="H12">
            <v>22.179999999999609</v>
          </cell>
          <cell r="K12">
            <v>469.44999999999993</v>
          </cell>
          <cell r="M12">
            <v>0</v>
          </cell>
          <cell r="N12">
            <v>1274.1549999999997</v>
          </cell>
          <cell r="Q12">
            <v>2.11</v>
          </cell>
          <cell r="S12">
            <v>36.99</v>
          </cell>
          <cell r="T12">
            <v>1.9700000000000095</v>
          </cell>
        </row>
        <row r="13">
          <cell r="E13">
            <v>0</v>
          </cell>
          <cell r="G13">
            <v>0</v>
          </cell>
          <cell r="H13">
            <v>312.23000000000013</v>
          </cell>
          <cell r="K13">
            <v>16.28</v>
          </cell>
          <cell r="M13">
            <v>0.7</v>
          </cell>
          <cell r="N13">
            <v>544.11200000000019</v>
          </cell>
          <cell r="Q13">
            <v>0</v>
          </cell>
          <cell r="S13">
            <v>0</v>
          </cell>
          <cell r="T13">
            <v>68.39</v>
          </cell>
        </row>
        <row r="14">
          <cell r="E14">
            <v>0</v>
          </cell>
          <cell r="G14">
            <v>0</v>
          </cell>
          <cell r="H14">
            <v>1216.4399999999994</v>
          </cell>
          <cell r="K14">
            <v>36.519999999999996</v>
          </cell>
          <cell r="M14">
            <v>0</v>
          </cell>
          <cell r="N14">
            <v>901.30800000000022</v>
          </cell>
          <cell r="Q14">
            <v>0</v>
          </cell>
          <cell r="S14">
            <v>0</v>
          </cell>
          <cell r="T14">
            <v>61.329999999999991</v>
          </cell>
        </row>
        <row r="16">
          <cell r="E16">
            <v>9.5100000000000016</v>
          </cell>
          <cell r="G16">
            <v>243.73</v>
          </cell>
          <cell r="H16">
            <v>759.62400000000036</v>
          </cell>
          <cell r="K16">
            <v>277.43999999999994</v>
          </cell>
          <cell r="M16">
            <v>0</v>
          </cell>
          <cell r="N16">
            <v>576.4860000000001</v>
          </cell>
          <cell r="Q16">
            <v>0.03</v>
          </cell>
          <cell r="S16">
            <v>0</v>
          </cell>
          <cell r="T16">
            <v>177.44200000000004</v>
          </cell>
        </row>
        <row r="17">
          <cell r="E17">
            <v>0</v>
          </cell>
          <cell r="G17">
            <v>3.74</v>
          </cell>
          <cell r="H17">
            <v>2.6759999999999478</v>
          </cell>
          <cell r="K17">
            <v>74.740000000000009</v>
          </cell>
          <cell r="M17">
            <v>0</v>
          </cell>
          <cell r="N17">
            <v>586.49</v>
          </cell>
          <cell r="Q17">
            <v>1.3399999999999999</v>
          </cell>
          <cell r="S17">
            <v>5.72</v>
          </cell>
          <cell r="T17">
            <v>1.9500000000000002</v>
          </cell>
        </row>
        <row r="18">
          <cell r="E18">
            <v>1.4000000000000001</v>
          </cell>
          <cell r="G18">
            <v>46.86</v>
          </cell>
          <cell r="H18">
            <v>90.316000000000145</v>
          </cell>
          <cell r="K18">
            <v>132.07999999999998</v>
          </cell>
          <cell r="M18">
            <v>0.34</v>
          </cell>
          <cell r="N18">
            <v>617.27700000000004</v>
          </cell>
          <cell r="Q18">
            <v>0.89999999999999991</v>
          </cell>
          <cell r="S18">
            <v>4.08</v>
          </cell>
          <cell r="T18">
            <v>35.689999999999991</v>
          </cell>
        </row>
        <row r="20">
          <cell r="E20">
            <v>1.77</v>
          </cell>
          <cell r="G20">
            <v>24.91</v>
          </cell>
          <cell r="H20">
            <v>607.42999999999984</v>
          </cell>
          <cell r="K20">
            <v>337.74</v>
          </cell>
          <cell r="M20">
            <v>1.04</v>
          </cell>
          <cell r="N20">
            <v>735.88800000000026</v>
          </cell>
          <cell r="Q20">
            <v>0</v>
          </cell>
          <cell r="S20">
            <v>2.77</v>
          </cell>
          <cell r="T20">
            <v>37.580000000000005</v>
          </cell>
        </row>
        <row r="21">
          <cell r="E21">
            <v>0</v>
          </cell>
          <cell r="G21">
            <v>20.440000000000001</v>
          </cell>
          <cell r="H21">
            <v>2.0700000000000003</v>
          </cell>
          <cell r="K21">
            <v>62.14</v>
          </cell>
          <cell r="M21">
            <v>0</v>
          </cell>
          <cell r="N21">
            <v>460.25700000000006</v>
          </cell>
          <cell r="Q21">
            <v>0.12</v>
          </cell>
          <cell r="S21">
            <v>1.2</v>
          </cell>
          <cell r="T21">
            <v>18.289999999999996</v>
          </cell>
        </row>
        <row r="22">
          <cell r="E22">
            <v>0</v>
          </cell>
          <cell r="G22">
            <v>0</v>
          </cell>
          <cell r="H22">
            <v>22.430000000000021</v>
          </cell>
          <cell r="K22">
            <v>9.0299999999999976</v>
          </cell>
          <cell r="M22">
            <v>0.08</v>
          </cell>
          <cell r="N22">
            <v>697.92000000000019</v>
          </cell>
          <cell r="Q22">
            <v>0</v>
          </cell>
          <cell r="S22">
            <v>0</v>
          </cell>
          <cell r="T22">
            <v>0.60000000000000098</v>
          </cell>
        </row>
        <row r="23">
          <cell r="E23">
            <v>3.4</v>
          </cell>
          <cell r="G23">
            <v>0</v>
          </cell>
          <cell r="H23">
            <v>430.64</v>
          </cell>
          <cell r="K23">
            <v>35.950000000000003</v>
          </cell>
          <cell r="M23">
            <v>0</v>
          </cell>
          <cell r="N23">
            <v>137.83499999999998</v>
          </cell>
          <cell r="Q23">
            <v>0</v>
          </cell>
          <cell r="S23">
            <v>0</v>
          </cell>
          <cell r="T23">
            <v>22.5</v>
          </cell>
        </row>
        <row r="26">
          <cell r="E26">
            <v>53.259999999999991</v>
          </cell>
          <cell r="G26">
            <v>0</v>
          </cell>
          <cell r="H26">
            <v>1606.24</v>
          </cell>
          <cell r="K26">
            <v>51.61</v>
          </cell>
          <cell r="M26">
            <v>0</v>
          </cell>
          <cell r="N26">
            <v>118.94</v>
          </cell>
          <cell r="Q26">
            <v>0.26</v>
          </cell>
          <cell r="S26">
            <v>0</v>
          </cell>
          <cell r="T26">
            <v>16.369999999999997</v>
          </cell>
        </row>
        <row r="27">
          <cell r="E27">
            <v>100.96</v>
          </cell>
          <cell r="G27">
            <v>0</v>
          </cell>
          <cell r="H27">
            <v>5677.6650000000045</v>
          </cell>
          <cell r="K27">
            <v>28.700000000000003</v>
          </cell>
          <cell r="M27">
            <v>0</v>
          </cell>
          <cell r="N27">
            <v>622.88799999999992</v>
          </cell>
          <cell r="Q27">
            <v>0.27</v>
          </cell>
          <cell r="S27">
            <v>0</v>
          </cell>
          <cell r="T27">
            <v>33.760000000000005</v>
          </cell>
        </row>
        <row r="29">
          <cell r="E29">
            <v>225.87</v>
          </cell>
          <cell r="G29">
            <v>0</v>
          </cell>
          <cell r="H29">
            <v>4879.3380000000006</v>
          </cell>
          <cell r="K29">
            <v>2.14</v>
          </cell>
          <cell r="M29">
            <v>0</v>
          </cell>
          <cell r="N29">
            <v>121.53000000000002</v>
          </cell>
          <cell r="Q29">
            <v>0</v>
          </cell>
          <cell r="S29">
            <v>23.2</v>
          </cell>
          <cell r="T29">
            <v>34.52000000000001</v>
          </cell>
        </row>
        <row r="30">
          <cell r="E30">
            <v>81.610000000000014</v>
          </cell>
          <cell r="G30">
            <v>0</v>
          </cell>
          <cell r="H30">
            <v>3693.9499999999994</v>
          </cell>
          <cell r="K30">
            <v>88</v>
          </cell>
          <cell r="M30">
            <v>0</v>
          </cell>
          <cell r="N30">
            <v>198.58699999999999</v>
          </cell>
          <cell r="Q30">
            <v>0</v>
          </cell>
          <cell r="S30">
            <v>0</v>
          </cell>
          <cell r="T30">
            <v>23.25</v>
          </cell>
        </row>
        <row r="31">
          <cell r="E31">
            <v>32.708000000000006</v>
          </cell>
          <cell r="G31">
            <v>0</v>
          </cell>
          <cell r="H31">
            <v>4698.2870000000012</v>
          </cell>
          <cell r="K31">
            <v>0.06</v>
          </cell>
          <cell r="M31">
            <v>0</v>
          </cell>
          <cell r="N31">
            <v>107.69000000000003</v>
          </cell>
          <cell r="Q31">
            <v>0</v>
          </cell>
          <cell r="S31">
            <v>0</v>
          </cell>
          <cell r="T31">
            <v>14.850000000000001</v>
          </cell>
        </row>
        <row r="32">
          <cell r="E32">
            <v>27.320000000000004</v>
          </cell>
          <cell r="G32">
            <v>0</v>
          </cell>
          <cell r="H32">
            <v>2370.1757999999991</v>
          </cell>
          <cell r="K32">
            <v>7.12</v>
          </cell>
          <cell r="M32">
            <v>0</v>
          </cell>
          <cell r="N32">
            <v>89.88600000000001</v>
          </cell>
          <cell r="Q32">
            <v>0</v>
          </cell>
          <cell r="S32">
            <v>0</v>
          </cell>
          <cell r="T32">
            <v>67.551999999999992</v>
          </cell>
        </row>
        <row r="34">
          <cell r="E34">
            <v>154.36999999999998</v>
          </cell>
          <cell r="G34">
            <v>9.89</v>
          </cell>
          <cell r="H34">
            <v>4583.58</v>
          </cell>
          <cell r="K34">
            <v>108.07999999999998</v>
          </cell>
          <cell r="M34">
            <v>0</v>
          </cell>
          <cell r="N34">
            <v>108.07999999999998</v>
          </cell>
          <cell r="Q34">
            <v>72.7</v>
          </cell>
          <cell r="S34">
            <v>0</v>
          </cell>
          <cell r="T34">
            <v>72.7</v>
          </cell>
        </row>
        <row r="35">
          <cell r="E35">
            <v>432.62</v>
          </cell>
          <cell r="G35">
            <v>0</v>
          </cell>
          <cell r="H35">
            <v>6642.199999999998</v>
          </cell>
          <cell r="K35">
            <v>27.21</v>
          </cell>
          <cell r="M35">
            <v>0</v>
          </cell>
          <cell r="N35">
            <v>34.130000000000003</v>
          </cell>
          <cell r="Q35">
            <v>32.380000000000003</v>
          </cell>
          <cell r="S35">
            <v>0</v>
          </cell>
          <cell r="T35">
            <v>90.800000000000011</v>
          </cell>
        </row>
        <row r="36">
          <cell r="E36">
            <v>221.32</v>
          </cell>
          <cell r="G36">
            <v>0</v>
          </cell>
          <cell r="H36">
            <v>3672.42</v>
          </cell>
          <cell r="K36">
            <v>5.2</v>
          </cell>
          <cell r="M36">
            <v>4.63</v>
          </cell>
          <cell r="N36">
            <v>30.250000000000039</v>
          </cell>
          <cell r="Q36">
            <v>19.29</v>
          </cell>
          <cell r="S36">
            <v>0</v>
          </cell>
          <cell r="T36">
            <v>36.379999999999995</v>
          </cell>
        </row>
        <row r="37">
          <cell r="E37">
            <v>293.13000000000005</v>
          </cell>
          <cell r="G37">
            <v>0</v>
          </cell>
          <cell r="H37">
            <v>5081.2499999999982</v>
          </cell>
          <cell r="K37">
            <v>14.27</v>
          </cell>
          <cell r="M37">
            <v>1.06</v>
          </cell>
          <cell r="N37">
            <v>26.700000000000003</v>
          </cell>
          <cell r="Q37">
            <v>0</v>
          </cell>
          <cell r="S37">
            <v>3.46</v>
          </cell>
          <cell r="T37">
            <v>3.0599999999999996</v>
          </cell>
        </row>
        <row r="40">
          <cell r="E40">
            <v>439.27</v>
          </cell>
          <cell r="G40">
            <v>0</v>
          </cell>
          <cell r="H40">
            <v>11829.713999999998</v>
          </cell>
          <cell r="K40">
            <v>0</v>
          </cell>
          <cell r="M40">
            <v>0</v>
          </cell>
          <cell r="N40">
            <v>198.73</v>
          </cell>
          <cell r="Q40">
            <v>106.93</v>
          </cell>
          <cell r="S40">
            <v>0</v>
          </cell>
          <cell r="T40">
            <v>106.93</v>
          </cell>
        </row>
        <row r="41">
          <cell r="E41">
            <v>894.10200000000009</v>
          </cell>
          <cell r="G41">
            <v>0</v>
          </cell>
          <cell r="H41">
            <v>8392.1389999999938</v>
          </cell>
          <cell r="K41">
            <v>0</v>
          </cell>
          <cell r="M41">
            <v>0</v>
          </cell>
          <cell r="N41">
            <v>8.67</v>
          </cell>
          <cell r="Q41">
            <v>141.29000000000002</v>
          </cell>
          <cell r="S41">
            <v>0</v>
          </cell>
          <cell r="T41">
            <v>141.29000000000002</v>
          </cell>
        </row>
        <row r="42">
          <cell r="E42">
            <v>105.99400000000001</v>
          </cell>
          <cell r="G42">
            <v>0</v>
          </cell>
          <cell r="H42">
            <v>13911.432999999995</v>
          </cell>
          <cell r="K42">
            <v>0</v>
          </cell>
          <cell r="M42">
            <v>0</v>
          </cell>
          <cell r="N42">
            <v>15.62</v>
          </cell>
          <cell r="Q42">
            <v>166.33</v>
          </cell>
          <cell r="S42">
            <v>0</v>
          </cell>
          <cell r="T42">
            <v>205.35</v>
          </cell>
        </row>
        <row r="43">
          <cell r="E43">
            <v>162.58000000000001</v>
          </cell>
          <cell r="G43">
            <v>0</v>
          </cell>
          <cell r="H43">
            <v>4130.0600000000013</v>
          </cell>
          <cell r="K43">
            <v>0</v>
          </cell>
          <cell r="M43">
            <v>0</v>
          </cell>
          <cell r="N43">
            <v>3.5</v>
          </cell>
          <cell r="Q43">
            <v>29.8</v>
          </cell>
          <cell r="S43">
            <v>0</v>
          </cell>
          <cell r="T43">
            <v>29.8</v>
          </cell>
        </row>
        <row r="45">
          <cell r="E45">
            <v>288.69</v>
          </cell>
          <cell r="G45">
            <v>0</v>
          </cell>
          <cell r="H45">
            <v>8340.6720999999998</v>
          </cell>
          <cell r="K45">
            <v>219.13</v>
          </cell>
          <cell r="M45">
            <v>0</v>
          </cell>
          <cell r="N45">
            <v>261.04999999999995</v>
          </cell>
          <cell r="Q45">
            <v>69.64</v>
          </cell>
          <cell r="S45">
            <v>0</v>
          </cell>
          <cell r="T45">
            <v>84.39</v>
          </cell>
        </row>
        <row r="46">
          <cell r="E46">
            <v>174.05</v>
          </cell>
          <cell r="G46">
            <v>0</v>
          </cell>
          <cell r="H46">
            <v>7912.5450000000019</v>
          </cell>
          <cell r="K46">
            <v>0</v>
          </cell>
          <cell r="M46">
            <v>0</v>
          </cell>
          <cell r="N46">
            <v>0</v>
          </cell>
          <cell r="Q46">
            <v>47.03</v>
          </cell>
          <cell r="S46">
            <v>0</v>
          </cell>
          <cell r="T46">
            <v>47.03</v>
          </cell>
        </row>
        <row r="47">
          <cell r="E47">
            <v>248.41000000000003</v>
          </cell>
          <cell r="G47">
            <v>0</v>
          </cell>
          <cell r="H47">
            <v>9033.0499999999975</v>
          </cell>
          <cell r="K47">
            <v>0</v>
          </cell>
          <cell r="M47">
            <v>0</v>
          </cell>
          <cell r="N47">
            <v>3.13</v>
          </cell>
          <cell r="Q47">
            <v>118.91999999999999</v>
          </cell>
          <cell r="S47">
            <v>0</v>
          </cell>
          <cell r="T47">
            <v>118.94999999999999</v>
          </cell>
        </row>
        <row r="48">
          <cell r="E48">
            <v>400.60999999999996</v>
          </cell>
          <cell r="G48">
            <v>0</v>
          </cell>
          <cell r="H48">
            <v>8597.3989999999976</v>
          </cell>
          <cell r="K48">
            <v>0</v>
          </cell>
          <cell r="M48">
            <v>0</v>
          </cell>
          <cell r="N48">
            <v>5.0249999999999995</v>
          </cell>
          <cell r="Q48">
            <v>4.21</v>
          </cell>
          <cell r="S48">
            <v>0</v>
          </cell>
          <cell r="T48">
            <v>4.21</v>
          </cell>
        </row>
      </sheetData>
      <sheetData sheetId="12">
        <row r="7">
          <cell r="D7">
            <v>0</v>
          </cell>
          <cell r="F7">
            <v>0</v>
          </cell>
          <cell r="J7">
            <v>14.234999999999999</v>
          </cell>
          <cell r="L7">
            <v>0</v>
          </cell>
          <cell r="P7">
            <v>0</v>
          </cell>
          <cell r="R7">
            <v>0</v>
          </cell>
        </row>
        <row r="8">
          <cell r="D8">
            <v>0.54</v>
          </cell>
          <cell r="F8">
            <v>0</v>
          </cell>
          <cell r="J8">
            <v>7.875</v>
          </cell>
          <cell r="L8">
            <v>0</v>
          </cell>
          <cell r="P8">
            <v>0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3.36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2.63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0</v>
          </cell>
          <cell r="J12">
            <v>2.2799999999999998</v>
          </cell>
          <cell r="L12">
            <v>0</v>
          </cell>
          <cell r="P12">
            <v>0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1.42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2.19</v>
          </cell>
          <cell r="L14">
            <v>0</v>
          </cell>
          <cell r="P14">
            <v>0</v>
          </cell>
          <cell r="R14">
            <v>0</v>
          </cell>
        </row>
        <row r="16">
          <cell r="D16">
            <v>0.55000000000000004</v>
          </cell>
          <cell r="F16">
            <v>4.01</v>
          </cell>
          <cell r="J16">
            <v>0.49</v>
          </cell>
          <cell r="L16">
            <v>0</v>
          </cell>
          <cell r="P16">
            <v>0</v>
          </cell>
          <cell r="R16">
            <v>0</v>
          </cell>
        </row>
        <row r="17">
          <cell r="D17">
            <v>0</v>
          </cell>
          <cell r="F17">
            <v>0</v>
          </cell>
          <cell r="J17">
            <v>2.63</v>
          </cell>
          <cell r="L17">
            <v>0</v>
          </cell>
          <cell r="P17">
            <v>0</v>
          </cell>
          <cell r="R17">
            <v>0</v>
          </cell>
        </row>
        <row r="18">
          <cell r="D18">
            <v>0.05</v>
          </cell>
          <cell r="F18">
            <v>0.1</v>
          </cell>
          <cell r="J18">
            <v>0.318</v>
          </cell>
          <cell r="L18">
            <v>0.3</v>
          </cell>
          <cell r="P18">
            <v>0</v>
          </cell>
          <cell r="R18">
            <v>0</v>
          </cell>
        </row>
        <row r="20">
          <cell r="D20">
            <v>0</v>
          </cell>
          <cell r="F20">
            <v>0</v>
          </cell>
          <cell r="J20">
            <v>12.52</v>
          </cell>
          <cell r="L20">
            <v>0</v>
          </cell>
          <cell r="P20">
            <v>0</v>
          </cell>
          <cell r="R20">
            <v>0</v>
          </cell>
        </row>
        <row r="21">
          <cell r="D21">
            <v>0</v>
          </cell>
          <cell r="F21">
            <v>0</v>
          </cell>
          <cell r="J21">
            <v>1.17</v>
          </cell>
          <cell r="L21">
            <v>0</v>
          </cell>
          <cell r="P21">
            <v>1.2</v>
          </cell>
          <cell r="R21">
            <v>0.6</v>
          </cell>
        </row>
        <row r="22">
          <cell r="D22">
            <v>0</v>
          </cell>
          <cell r="F22">
            <v>0</v>
          </cell>
          <cell r="J22">
            <v>0.3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0</v>
          </cell>
          <cell r="F23">
            <v>0</v>
          </cell>
          <cell r="J23">
            <v>1.72</v>
          </cell>
          <cell r="L23">
            <v>0</v>
          </cell>
          <cell r="P23">
            <v>0</v>
          </cell>
          <cell r="R23">
            <v>0</v>
          </cell>
        </row>
        <row r="26">
          <cell r="D26">
            <v>22.05</v>
          </cell>
          <cell r="F26">
            <v>0</v>
          </cell>
          <cell r="J26">
            <v>2.61</v>
          </cell>
          <cell r="L26">
            <v>0</v>
          </cell>
          <cell r="P26">
            <v>0</v>
          </cell>
          <cell r="R26">
            <v>0</v>
          </cell>
        </row>
        <row r="27">
          <cell r="D27">
            <v>7.71</v>
          </cell>
          <cell r="F27">
            <v>0</v>
          </cell>
          <cell r="J27">
            <v>11.29</v>
          </cell>
          <cell r="L27">
            <v>0</v>
          </cell>
          <cell r="P27">
            <v>0.04</v>
          </cell>
          <cell r="R27">
            <v>0</v>
          </cell>
        </row>
        <row r="29">
          <cell r="D29">
            <v>1.7</v>
          </cell>
          <cell r="F29">
            <v>0</v>
          </cell>
          <cell r="J29">
            <v>0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8.1999999999999993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4.2050000000000001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3.85</v>
          </cell>
          <cell r="F32">
            <v>0</v>
          </cell>
          <cell r="J32">
            <v>3.29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3.17</v>
          </cell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41.42</v>
          </cell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25.24</v>
          </cell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D37">
            <v>13.26</v>
          </cell>
          <cell r="F37">
            <v>0</v>
          </cell>
          <cell r="J37">
            <v>0</v>
          </cell>
          <cell r="L37">
            <v>0</v>
          </cell>
          <cell r="P37">
            <v>0</v>
          </cell>
          <cell r="R37">
            <v>0</v>
          </cell>
        </row>
        <row r="40">
          <cell r="D40">
            <v>27.91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55.260000000000005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42.24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71.900000000000006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23.14</v>
          </cell>
          <cell r="F45">
            <v>0</v>
          </cell>
          <cell r="J45">
            <v>0</v>
          </cell>
          <cell r="L45">
            <v>0</v>
          </cell>
          <cell r="P45">
            <v>0</v>
          </cell>
          <cell r="R45">
            <v>0</v>
          </cell>
        </row>
        <row r="46">
          <cell r="D46">
            <v>34.69</v>
          </cell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D47">
            <v>44.65</v>
          </cell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8.5500000000000007</v>
          </cell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view="pageBreakPreview" topLeftCell="J1" zoomScale="60" zoomScaleNormal="48" workbookViewId="0">
      <pane ySplit="6" topLeftCell="A37" activePane="bottomLeft" state="frozen"/>
      <selection pane="bottomLeft" activeCell="M54" sqref="M54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9.28515625" style="107" customWidth="1"/>
    <col min="4" max="4" width="20.85546875" style="107" customWidth="1"/>
    <col min="5" max="5" width="26.42578125" style="107" customWidth="1"/>
    <col min="6" max="6" width="20.85546875" style="107" customWidth="1"/>
    <col min="7" max="7" width="26.5703125" style="107" customWidth="1"/>
    <col min="8" max="8" width="30.85546875" style="107" customWidth="1"/>
    <col min="9" max="9" width="23" style="129" customWidth="1"/>
    <col min="10" max="10" width="25.85546875" style="107" customWidth="1"/>
    <col min="11" max="12" width="21.28515625" style="107" customWidth="1"/>
    <col min="13" max="13" width="32.28515625" style="107" customWidth="1"/>
    <col min="14" max="14" width="28.425781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23.5703125" style="123" customWidth="1"/>
    <col min="21" max="21" width="31.8554687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81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1:22" ht="15" customHeight="1" x14ac:dyDescent="0.35">
      <c r="A2" s="284" t="s">
        <v>72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</row>
    <row r="3" spans="1:22" ht="32.25" customHeight="1" x14ac:dyDescent="0.35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</row>
    <row r="4" spans="1:22" s="108" customFormat="1" ht="43.5" customHeight="1" x14ac:dyDescent="0.25">
      <c r="A4" s="281" t="s">
        <v>1</v>
      </c>
      <c r="B4" s="281" t="s">
        <v>2</v>
      </c>
      <c r="C4" s="281" t="s">
        <v>3</v>
      </c>
      <c r="D4" s="281"/>
      <c r="E4" s="281"/>
      <c r="F4" s="281"/>
      <c r="G4" s="281"/>
      <c r="H4" s="281"/>
      <c r="I4" s="281" t="s">
        <v>4</v>
      </c>
      <c r="J4" s="282"/>
      <c r="K4" s="282"/>
      <c r="L4" s="282"/>
      <c r="M4" s="282"/>
      <c r="N4" s="282"/>
      <c r="O4" s="281" t="s">
        <v>5</v>
      </c>
      <c r="P4" s="282"/>
      <c r="Q4" s="282"/>
      <c r="R4" s="282"/>
      <c r="S4" s="282"/>
      <c r="T4" s="282"/>
      <c r="U4" s="167"/>
    </row>
    <row r="5" spans="1:22" s="108" customFormat="1" ht="54.75" customHeight="1" x14ac:dyDescent="0.25">
      <c r="A5" s="282"/>
      <c r="B5" s="282"/>
      <c r="C5" s="281" t="s">
        <v>6</v>
      </c>
      <c r="D5" s="281" t="s">
        <v>7</v>
      </c>
      <c r="E5" s="281"/>
      <c r="F5" s="281" t="s">
        <v>8</v>
      </c>
      <c r="G5" s="281"/>
      <c r="H5" s="281" t="s">
        <v>9</v>
      </c>
      <c r="I5" s="281" t="s">
        <v>6</v>
      </c>
      <c r="J5" s="281" t="s">
        <v>7</v>
      </c>
      <c r="K5" s="281"/>
      <c r="L5" s="281" t="s">
        <v>8</v>
      </c>
      <c r="M5" s="281"/>
      <c r="N5" s="281" t="s">
        <v>9</v>
      </c>
      <c r="O5" s="281" t="s">
        <v>6</v>
      </c>
      <c r="P5" s="281" t="s">
        <v>7</v>
      </c>
      <c r="Q5" s="281"/>
      <c r="R5" s="281" t="s">
        <v>8</v>
      </c>
      <c r="S5" s="281"/>
      <c r="T5" s="281" t="s">
        <v>9</v>
      </c>
      <c r="U5" s="281" t="s">
        <v>10</v>
      </c>
    </row>
    <row r="6" spans="1:22" s="108" customFormat="1" ht="38.25" customHeight="1" x14ac:dyDescent="0.25">
      <c r="A6" s="282"/>
      <c r="B6" s="282"/>
      <c r="C6" s="282"/>
      <c r="D6" s="166" t="s">
        <v>11</v>
      </c>
      <c r="E6" s="166" t="s">
        <v>12</v>
      </c>
      <c r="F6" s="166" t="s">
        <v>11</v>
      </c>
      <c r="G6" s="166" t="s">
        <v>12</v>
      </c>
      <c r="H6" s="281"/>
      <c r="I6" s="282"/>
      <c r="J6" s="166" t="s">
        <v>11</v>
      </c>
      <c r="K6" s="166" t="s">
        <v>12</v>
      </c>
      <c r="L6" s="166" t="s">
        <v>11</v>
      </c>
      <c r="M6" s="166" t="s">
        <v>12</v>
      </c>
      <c r="N6" s="281"/>
      <c r="O6" s="282"/>
      <c r="P6" s="166" t="s">
        <v>11</v>
      </c>
      <c r="Q6" s="166" t="s">
        <v>12</v>
      </c>
      <c r="R6" s="166" t="s">
        <v>11</v>
      </c>
      <c r="S6" s="166" t="s">
        <v>12</v>
      </c>
      <c r="T6" s="281"/>
      <c r="U6" s="281"/>
    </row>
    <row r="7" spans="1:22" ht="34.5" customHeight="1" x14ac:dyDescent="0.35">
      <c r="A7" s="167">
        <v>1</v>
      </c>
      <c r="B7" s="167" t="s">
        <v>13</v>
      </c>
      <c r="C7" s="109">
        <v>459.88999999999987</v>
      </c>
      <c r="D7" s="109">
        <v>0</v>
      </c>
      <c r="E7" s="109">
        <v>1.08</v>
      </c>
      <c r="F7" s="109">
        <v>0</v>
      </c>
      <c r="G7" s="109">
        <v>0</v>
      </c>
      <c r="H7" s="109">
        <v>459.88999999999987</v>
      </c>
      <c r="I7" s="109">
        <v>538.59499999999991</v>
      </c>
      <c r="J7" s="109">
        <v>0.08</v>
      </c>
      <c r="K7" s="109">
        <v>13.299999999999999</v>
      </c>
      <c r="L7" s="109">
        <v>0</v>
      </c>
      <c r="M7" s="109">
        <v>0</v>
      </c>
      <c r="N7" s="109">
        <v>538.67499999999995</v>
      </c>
      <c r="O7" s="109">
        <v>70.100000000000009</v>
      </c>
      <c r="P7" s="109">
        <v>0</v>
      </c>
      <c r="Q7" s="109">
        <v>0</v>
      </c>
      <c r="R7" s="109">
        <v>0</v>
      </c>
      <c r="S7" s="109">
        <v>0</v>
      </c>
      <c r="T7" s="109">
        <v>70.100000000000009</v>
      </c>
      <c r="U7" s="109">
        <v>1068.6649999999997</v>
      </c>
    </row>
    <row r="8" spans="1:22" ht="34.5" customHeight="1" x14ac:dyDescent="0.35">
      <c r="A8" s="167">
        <v>2</v>
      </c>
      <c r="B8" s="167" t="s">
        <v>65</v>
      </c>
      <c r="C8" s="109">
        <v>3.64</v>
      </c>
      <c r="D8" s="109">
        <v>0.7</v>
      </c>
      <c r="E8" s="109">
        <v>4.34</v>
      </c>
      <c r="F8" s="109">
        <v>0</v>
      </c>
      <c r="G8" s="109">
        <v>0</v>
      </c>
      <c r="H8" s="109">
        <v>4.34</v>
      </c>
      <c r="I8" s="109">
        <v>51.940000000000012</v>
      </c>
      <c r="J8" s="109">
        <v>1.37</v>
      </c>
      <c r="K8" s="109">
        <v>19.880000000000003</v>
      </c>
      <c r="L8" s="109">
        <v>0</v>
      </c>
      <c r="M8" s="109">
        <v>0</v>
      </c>
      <c r="N8" s="109">
        <v>53.310000000000009</v>
      </c>
      <c r="O8" s="109">
        <v>0.21000000000000002</v>
      </c>
      <c r="P8" s="109">
        <v>0</v>
      </c>
      <c r="Q8" s="109">
        <v>0</v>
      </c>
      <c r="R8" s="109">
        <v>0</v>
      </c>
      <c r="S8" s="109">
        <v>0</v>
      </c>
      <c r="T8" s="109">
        <v>0.21000000000000002</v>
      </c>
      <c r="U8" s="109">
        <v>57.860000000000007</v>
      </c>
    </row>
    <row r="9" spans="1:22" ht="34.5" customHeight="1" x14ac:dyDescent="0.35">
      <c r="A9" s="167">
        <v>3</v>
      </c>
      <c r="B9" s="167" t="s">
        <v>14</v>
      </c>
      <c r="C9" s="109">
        <v>309.7600000000001</v>
      </c>
      <c r="D9" s="109">
        <v>0</v>
      </c>
      <c r="E9" s="109">
        <v>0</v>
      </c>
      <c r="F9" s="109">
        <v>0</v>
      </c>
      <c r="G9" s="109">
        <v>0</v>
      </c>
      <c r="H9" s="109">
        <v>309.7600000000001</v>
      </c>
      <c r="I9" s="109">
        <v>437.78000000000014</v>
      </c>
      <c r="J9" s="109">
        <v>0.25</v>
      </c>
      <c r="K9" s="109">
        <v>17.55</v>
      </c>
      <c r="L9" s="109">
        <v>0</v>
      </c>
      <c r="M9" s="109">
        <v>0</v>
      </c>
      <c r="N9" s="109">
        <v>438.03000000000014</v>
      </c>
      <c r="O9" s="109">
        <v>44.809999999999995</v>
      </c>
      <c r="P9" s="109">
        <v>0</v>
      </c>
      <c r="Q9" s="109">
        <v>0.49</v>
      </c>
      <c r="R9" s="109">
        <v>0</v>
      </c>
      <c r="S9" s="109">
        <v>0</v>
      </c>
      <c r="T9" s="109">
        <v>44.809999999999995</v>
      </c>
      <c r="U9" s="109">
        <v>792.60000000000014</v>
      </c>
    </row>
    <row r="10" spans="1:22" s="111" customFormat="1" ht="34.5" customHeight="1" x14ac:dyDescent="0.4">
      <c r="A10" s="167">
        <v>4</v>
      </c>
      <c r="B10" s="167" t="s">
        <v>15</v>
      </c>
      <c r="C10" s="109">
        <v>7.36</v>
      </c>
      <c r="D10" s="109">
        <v>0</v>
      </c>
      <c r="E10" s="109">
        <v>0</v>
      </c>
      <c r="F10" s="109">
        <v>0</v>
      </c>
      <c r="G10" s="109">
        <v>0</v>
      </c>
      <c r="H10" s="109">
        <v>7.36</v>
      </c>
      <c r="I10" s="109">
        <v>473.49999999999989</v>
      </c>
      <c r="J10" s="109">
        <v>0.17</v>
      </c>
      <c r="K10" s="109">
        <v>125.39</v>
      </c>
      <c r="L10" s="109">
        <v>0</v>
      </c>
      <c r="M10" s="109">
        <v>0</v>
      </c>
      <c r="N10" s="109">
        <v>473.6699999999999</v>
      </c>
      <c r="O10" s="109">
        <v>0.8</v>
      </c>
      <c r="P10" s="109">
        <v>0</v>
      </c>
      <c r="Q10" s="109">
        <v>0.2</v>
      </c>
      <c r="R10" s="109">
        <v>0</v>
      </c>
      <c r="S10" s="109">
        <v>0</v>
      </c>
      <c r="T10" s="109">
        <v>0.8</v>
      </c>
      <c r="U10" s="109">
        <v>481.82999999999993</v>
      </c>
      <c r="V10" s="110"/>
    </row>
    <row r="11" spans="1:22" s="111" customFormat="1" ht="34.5" customHeight="1" x14ac:dyDescent="0.4">
      <c r="A11" s="166"/>
      <c r="B11" s="166" t="s">
        <v>16</v>
      </c>
      <c r="C11" s="110">
        <v>780.65</v>
      </c>
      <c r="D11" s="110">
        <v>0.7</v>
      </c>
      <c r="E11" s="110">
        <v>5.42</v>
      </c>
      <c r="F11" s="110">
        <v>0</v>
      </c>
      <c r="G11" s="110">
        <v>0</v>
      </c>
      <c r="H11" s="110">
        <v>781.35</v>
      </c>
      <c r="I11" s="110">
        <v>1501.8150000000001</v>
      </c>
      <c r="J11" s="110">
        <v>1.87</v>
      </c>
      <c r="K11" s="110">
        <v>176.12</v>
      </c>
      <c r="L11" s="110">
        <v>0</v>
      </c>
      <c r="M11" s="110">
        <v>0</v>
      </c>
      <c r="N11" s="110">
        <v>1503.6849999999999</v>
      </c>
      <c r="O11" s="110">
        <v>115.92</v>
      </c>
      <c r="P11" s="110">
        <v>0</v>
      </c>
      <c r="Q11" s="110">
        <v>0.69</v>
      </c>
      <c r="R11" s="110">
        <v>0</v>
      </c>
      <c r="S11" s="110">
        <v>0</v>
      </c>
      <c r="T11" s="110">
        <v>115.92</v>
      </c>
      <c r="U11" s="110">
        <v>2400.9549999999999</v>
      </c>
    </row>
    <row r="12" spans="1:22" ht="34.5" customHeight="1" x14ac:dyDescent="0.35">
      <c r="A12" s="167">
        <v>5</v>
      </c>
      <c r="B12" s="167" t="s">
        <v>17</v>
      </c>
      <c r="C12" s="109">
        <v>567.25999999999965</v>
      </c>
      <c r="D12" s="109">
        <v>0</v>
      </c>
      <c r="E12" s="109">
        <v>0</v>
      </c>
      <c r="F12" s="109">
        <v>0</v>
      </c>
      <c r="G12" s="109">
        <v>0</v>
      </c>
      <c r="H12" s="109">
        <v>567.25999999999965</v>
      </c>
      <c r="I12" s="109">
        <v>704.86999999999978</v>
      </c>
      <c r="J12" s="109">
        <v>0.35</v>
      </c>
      <c r="K12" s="109">
        <v>29.43</v>
      </c>
      <c r="L12" s="109">
        <v>0</v>
      </c>
      <c r="M12" s="109">
        <v>0</v>
      </c>
      <c r="N12" s="109">
        <v>705.2199999999998</v>
      </c>
      <c r="O12" s="109">
        <v>40.430000000000007</v>
      </c>
      <c r="P12" s="109">
        <v>0</v>
      </c>
      <c r="Q12" s="109">
        <v>0</v>
      </c>
      <c r="R12" s="109">
        <v>0</v>
      </c>
      <c r="S12" s="109">
        <v>0</v>
      </c>
      <c r="T12" s="109">
        <v>40.430000000000007</v>
      </c>
      <c r="U12" s="109">
        <v>1312.9099999999996</v>
      </c>
    </row>
    <row r="13" spans="1:22" ht="34.5" customHeight="1" x14ac:dyDescent="0.35">
      <c r="A13" s="167">
        <v>6</v>
      </c>
      <c r="B13" s="167" t="s">
        <v>18</v>
      </c>
      <c r="C13" s="109">
        <v>315.62000000000012</v>
      </c>
      <c r="D13" s="109">
        <v>0</v>
      </c>
      <c r="E13" s="109">
        <v>0.86</v>
      </c>
      <c r="F13" s="109">
        <v>0</v>
      </c>
      <c r="G13" s="109">
        <v>0</v>
      </c>
      <c r="H13" s="109">
        <v>315.62000000000012</v>
      </c>
      <c r="I13" s="109">
        <v>492.59000000000009</v>
      </c>
      <c r="J13" s="109">
        <v>0.94</v>
      </c>
      <c r="K13" s="109">
        <v>12.139999999999999</v>
      </c>
      <c r="L13" s="109">
        <v>0</v>
      </c>
      <c r="M13" s="109">
        <v>0</v>
      </c>
      <c r="N13" s="109">
        <v>493.53000000000009</v>
      </c>
      <c r="O13" s="109">
        <v>21.49</v>
      </c>
      <c r="P13" s="109">
        <v>0</v>
      </c>
      <c r="Q13" s="109">
        <v>0.32</v>
      </c>
      <c r="R13" s="109">
        <v>0</v>
      </c>
      <c r="S13" s="109">
        <v>0</v>
      </c>
      <c r="T13" s="109">
        <v>21.49</v>
      </c>
      <c r="U13" s="109">
        <v>830.64000000000021</v>
      </c>
    </row>
    <row r="14" spans="1:22" s="111" customFormat="1" ht="34.5" customHeight="1" x14ac:dyDescent="0.4">
      <c r="A14" s="167">
        <v>7</v>
      </c>
      <c r="B14" s="167" t="s">
        <v>19</v>
      </c>
      <c r="C14" s="109">
        <v>1510.9799999999996</v>
      </c>
      <c r="D14" s="109">
        <v>0</v>
      </c>
      <c r="E14" s="109">
        <v>2.91</v>
      </c>
      <c r="F14" s="109">
        <v>0</v>
      </c>
      <c r="G14" s="109">
        <v>0</v>
      </c>
      <c r="H14" s="109">
        <v>1510.9799999999996</v>
      </c>
      <c r="I14" s="109">
        <v>555.1600000000002</v>
      </c>
      <c r="J14" s="109">
        <v>3.57</v>
      </c>
      <c r="K14" s="109">
        <v>79.680000000000007</v>
      </c>
      <c r="L14" s="109">
        <v>0</v>
      </c>
      <c r="M14" s="109">
        <v>0</v>
      </c>
      <c r="N14" s="109">
        <v>558.73000000000025</v>
      </c>
      <c r="O14" s="109">
        <v>57.759999999999991</v>
      </c>
      <c r="P14" s="109">
        <v>0.04</v>
      </c>
      <c r="Q14" s="109">
        <v>0.04</v>
      </c>
      <c r="R14" s="109">
        <v>0</v>
      </c>
      <c r="S14" s="109">
        <v>0</v>
      </c>
      <c r="T14" s="109">
        <v>57.79999999999999</v>
      </c>
      <c r="U14" s="109">
        <v>2127.5100000000002</v>
      </c>
      <c r="V14" s="164"/>
    </row>
    <row r="15" spans="1:22" s="111" customFormat="1" ht="34.5" customHeight="1" x14ac:dyDescent="0.4">
      <c r="A15" s="166"/>
      <c r="B15" s="166" t="s">
        <v>20</v>
      </c>
      <c r="C15" s="110">
        <v>2393.8599999999992</v>
      </c>
      <c r="D15" s="110">
        <v>0</v>
      </c>
      <c r="E15" s="110">
        <v>3.77</v>
      </c>
      <c r="F15" s="110">
        <v>0</v>
      </c>
      <c r="G15" s="110">
        <v>0</v>
      </c>
      <c r="H15" s="110">
        <v>2393.8599999999992</v>
      </c>
      <c r="I15" s="110">
        <v>1752.62</v>
      </c>
      <c r="J15" s="110">
        <v>4.8599999999999994</v>
      </c>
      <c r="K15" s="110">
        <v>121.25</v>
      </c>
      <c r="L15" s="110">
        <v>0</v>
      </c>
      <c r="M15" s="110">
        <v>0</v>
      </c>
      <c r="N15" s="110">
        <v>1757.4800000000002</v>
      </c>
      <c r="O15" s="110">
        <v>119.67999999999999</v>
      </c>
      <c r="P15" s="110">
        <v>0.04</v>
      </c>
      <c r="Q15" s="110">
        <v>0.36</v>
      </c>
      <c r="R15" s="110">
        <v>0</v>
      </c>
      <c r="S15" s="110">
        <v>0</v>
      </c>
      <c r="T15" s="110">
        <v>119.72</v>
      </c>
      <c r="U15" s="110">
        <v>4271.0599999999995</v>
      </c>
    </row>
    <row r="16" spans="1:22" s="112" customFormat="1" ht="34.5" customHeight="1" x14ac:dyDescent="0.35">
      <c r="A16" s="167">
        <v>8</v>
      </c>
      <c r="B16" s="167" t="s">
        <v>21</v>
      </c>
      <c r="C16" s="109">
        <v>994.92400000000032</v>
      </c>
      <c r="D16" s="109">
        <v>0.45</v>
      </c>
      <c r="E16" s="109">
        <v>26.261999999999997</v>
      </c>
      <c r="F16" s="109">
        <v>0</v>
      </c>
      <c r="G16" s="109">
        <v>0</v>
      </c>
      <c r="H16" s="109">
        <v>995.37400000000036</v>
      </c>
      <c r="I16" s="109">
        <v>101.22599999999997</v>
      </c>
      <c r="J16" s="109">
        <v>4.3499999999999996</v>
      </c>
      <c r="K16" s="109">
        <v>27.482999999999997</v>
      </c>
      <c r="L16" s="109">
        <v>0</v>
      </c>
      <c r="M16" s="109">
        <v>0</v>
      </c>
      <c r="N16" s="109">
        <v>105.57599999999996</v>
      </c>
      <c r="O16" s="109">
        <v>245.88200000000001</v>
      </c>
      <c r="P16" s="109">
        <v>0</v>
      </c>
      <c r="Q16" s="109">
        <v>0</v>
      </c>
      <c r="R16" s="109">
        <v>0</v>
      </c>
      <c r="S16" s="109">
        <v>0</v>
      </c>
      <c r="T16" s="109">
        <v>245.88200000000001</v>
      </c>
      <c r="U16" s="109">
        <v>1346.8320000000003</v>
      </c>
    </row>
    <row r="17" spans="1:22" ht="34.5" customHeight="1" x14ac:dyDescent="0.35">
      <c r="A17" s="113">
        <v>9</v>
      </c>
      <c r="B17" s="113" t="s">
        <v>22</v>
      </c>
      <c r="C17" s="109">
        <v>183.33799999999994</v>
      </c>
      <c r="D17" s="114">
        <v>0</v>
      </c>
      <c r="E17" s="109">
        <v>1.1180000000000001</v>
      </c>
      <c r="F17" s="114">
        <v>0</v>
      </c>
      <c r="G17" s="109">
        <v>0</v>
      </c>
      <c r="H17" s="109">
        <v>183.33799999999994</v>
      </c>
      <c r="I17" s="109">
        <v>324.0560000000001</v>
      </c>
      <c r="J17" s="114">
        <v>1.62</v>
      </c>
      <c r="K17" s="109">
        <v>10.169999999999998</v>
      </c>
      <c r="L17" s="114">
        <v>0</v>
      </c>
      <c r="M17" s="109">
        <v>0</v>
      </c>
      <c r="N17" s="109">
        <v>325.6760000000001</v>
      </c>
      <c r="O17" s="109">
        <v>57.395000000000003</v>
      </c>
      <c r="P17" s="114">
        <v>6.98</v>
      </c>
      <c r="Q17" s="109">
        <v>18.815000000000001</v>
      </c>
      <c r="R17" s="114">
        <v>0</v>
      </c>
      <c r="S17" s="109">
        <v>0</v>
      </c>
      <c r="T17" s="109">
        <v>64.375</v>
      </c>
      <c r="U17" s="109">
        <v>573.38900000000001</v>
      </c>
    </row>
    <row r="18" spans="1:22" s="111" customFormat="1" ht="34.5" customHeight="1" x14ac:dyDescent="0.4">
      <c r="A18" s="167">
        <v>10</v>
      </c>
      <c r="B18" s="167" t="s">
        <v>23</v>
      </c>
      <c r="C18" s="109">
        <v>209.44600000000005</v>
      </c>
      <c r="D18" s="109">
        <v>0</v>
      </c>
      <c r="E18" s="109">
        <v>6.1259999999999994</v>
      </c>
      <c r="F18" s="109">
        <v>0</v>
      </c>
      <c r="G18" s="109">
        <v>0</v>
      </c>
      <c r="H18" s="109">
        <v>209.44600000000005</v>
      </c>
      <c r="I18" s="109">
        <v>338.76099999999991</v>
      </c>
      <c r="J18" s="109">
        <v>0.34</v>
      </c>
      <c r="K18" s="109">
        <v>7.5529999999999999</v>
      </c>
      <c r="L18" s="109">
        <v>0</v>
      </c>
      <c r="M18" s="109">
        <v>0</v>
      </c>
      <c r="N18" s="109">
        <v>339.10099999999989</v>
      </c>
      <c r="O18" s="109">
        <v>8.3749999999999982</v>
      </c>
      <c r="P18" s="109">
        <v>0</v>
      </c>
      <c r="Q18" s="109">
        <v>0</v>
      </c>
      <c r="R18" s="109">
        <v>0</v>
      </c>
      <c r="S18" s="109">
        <v>0</v>
      </c>
      <c r="T18" s="109">
        <v>8.3749999999999982</v>
      </c>
      <c r="U18" s="109">
        <v>556.92199999999991</v>
      </c>
      <c r="V18" s="164"/>
    </row>
    <row r="19" spans="1:22" s="111" customFormat="1" ht="34.5" customHeight="1" x14ac:dyDescent="0.4">
      <c r="A19" s="166"/>
      <c r="B19" s="166" t="s">
        <v>24</v>
      </c>
      <c r="C19" s="110">
        <v>1387.7080000000003</v>
      </c>
      <c r="D19" s="110">
        <v>0.45</v>
      </c>
      <c r="E19" s="110">
        <v>33.505999999999993</v>
      </c>
      <c r="F19" s="110">
        <v>0</v>
      </c>
      <c r="G19" s="110">
        <v>0</v>
      </c>
      <c r="H19" s="110">
        <v>1388.1580000000004</v>
      </c>
      <c r="I19" s="110">
        <v>764.04299999999989</v>
      </c>
      <c r="J19" s="110">
        <v>6.31</v>
      </c>
      <c r="K19" s="110">
        <v>45.205999999999989</v>
      </c>
      <c r="L19" s="110">
        <v>0</v>
      </c>
      <c r="M19" s="110">
        <v>0</v>
      </c>
      <c r="N19" s="110">
        <v>770.35299999999995</v>
      </c>
      <c r="O19" s="110">
        <v>311.65199999999999</v>
      </c>
      <c r="P19" s="110">
        <v>6.98</v>
      </c>
      <c r="Q19" s="110">
        <v>18.815000000000001</v>
      </c>
      <c r="R19" s="110">
        <v>0</v>
      </c>
      <c r="S19" s="110">
        <v>0</v>
      </c>
      <c r="T19" s="110">
        <v>318.63200000000001</v>
      </c>
      <c r="U19" s="110">
        <v>2477.1430000000005</v>
      </c>
    </row>
    <row r="20" spans="1:22" ht="34.5" customHeight="1" x14ac:dyDescent="0.35">
      <c r="A20" s="167">
        <v>11</v>
      </c>
      <c r="B20" s="167" t="s">
        <v>25</v>
      </c>
      <c r="C20" s="109">
        <v>632.28000000000009</v>
      </c>
      <c r="D20" s="109">
        <v>0.08</v>
      </c>
      <c r="E20" s="109">
        <v>7.36</v>
      </c>
      <c r="F20" s="109">
        <v>0</v>
      </c>
      <c r="G20" s="109">
        <v>0.1</v>
      </c>
      <c r="H20" s="109">
        <v>632.36000000000013</v>
      </c>
      <c r="I20" s="109">
        <v>370.45000000000005</v>
      </c>
      <c r="J20" s="109">
        <v>0.51</v>
      </c>
      <c r="K20" s="109">
        <v>40.33</v>
      </c>
      <c r="L20" s="109">
        <v>0</v>
      </c>
      <c r="M20" s="109">
        <v>0</v>
      </c>
      <c r="N20" s="109">
        <v>370.96000000000004</v>
      </c>
      <c r="O20" s="109">
        <v>40.190000000000005</v>
      </c>
      <c r="P20" s="109">
        <v>0</v>
      </c>
      <c r="Q20" s="109">
        <v>0.64</v>
      </c>
      <c r="R20" s="109">
        <v>0</v>
      </c>
      <c r="S20" s="109">
        <v>0</v>
      </c>
      <c r="T20" s="109">
        <v>40.190000000000005</v>
      </c>
      <c r="U20" s="109">
        <v>1043.5100000000002</v>
      </c>
    </row>
    <row r="21" spans="1:22" ht="34.5" customHeight="1" x14ac:dyDescent="0.35">
      <c r="A21" s="167">
        <v>12</v>
      </c>
      <c r="B21" s="167" t="s">
        <v>26</v>
      </c>
      <c r="C21" s="109">
        <v>18.829999999999995</v>
      </c>
      <c r="D21" s="109">
        <v>0.09</v>
      </c>
      <c r="E21" s="109">
        <v>5.8299999999999992</v>
      </c>
      <c r="F21" s="109">
        <v>0</v>
      </c>
      <c r="G21" s="109">
        <v>0</v>
      </c>
      <c r="H21" s="109">
        <v>18.919999999999995</v>
      </c>
      <c r="I21" s="109">
        <v>364.96300000000002</v>
      </c>
      <c r="J21" s="109">
        <v>0.25</v>
      </c>
      <c r="K21" s="109">
        <v>13.02</v>
      </c>
      <c r="L21" s="109">
        <v>0</v>
      </c>
      <c r="M21" s="109">
        <v>0</v>
      </c>
      <c r="N21" s="109">
        <v>365.21300000000002</v>
      </c>
      <c r="O21" s="109">
        <v>19.559999999999999</v>
      </c>
      <c r="P21" s="109">
        <v>0</v>
      </c>
      <c r="Q21" s="109">
        <v>0.02</v>
      </c>
      <c r="R21" s="109">
        <v>0</v>
      </c>
      <c r="S21" s="109">
        <v>0</v>
      </c>
      <c r="T21" s="109">
        <v>19.559999999999999</v>
      </c>
      <c r="U21" s="109">
        <v>403.69300000000004</v>
      </c>
    </row>
    <row r="22" spans="1:22" s="111" customFormat="1" ht="34.5" customHeight="1" x14ac:dyDescent="0.4">
      <c r="A22" s="167">
        <v>13</v>
      </c>
      <c r="B22" s="167" t="s">
        <v>27</v>
      </c>
      <c r="C22" s="109">
        <v>282.79000000000002</v>
      </c>
      <c r="D22" s="109">
        <v>0</v>
      </c>
      <c r="E22" s="109">
        <v>6.3</v>
      </c>
      <c r="F22" s="109">
        <v>0</v>
      </c>
      <c r="G22" s="109">
        <v>0</v>
      </c>
      <c r="H22" s="109">
        <v>282.79000000000002</v>
      </c>
      <c r="I22" s="109">
        <v>142.46</v>
      </c>
      <c r="J22" s="109">
        <v>0.44</v>
      </c>
      <c r="K22" s="109">
        <v>5.3200000000000012</v>
      </c>
      <c r="L22" s="109">
        <v>0</v>
      </c>
      <c r="M22" s="109">
        <v>0</v>
      </c>
      <c r="N22" s="109">
        <v>142.9</v>
      </c>
      <c r="O22" s="109">
        <v>13.350000000000001</v>
      </c>
      <c r="P22" s="109">
        <v>0</v>
      </c>
      <c r="Q22" s="109">
        <v>0</v>
      </c>
      <c r="R22" s="109">
        <v>0</v>
      </c>
      <c r="S22" s="109">
        <v>0</v>
      </c>
      <c r="T22" s="109">
        <v>13.350000000000001</v>
      </c>
      <c r="U22" s="109">
        <v>439.04000000000008</v>
      </c>
      <c r="V22" s="164"/>
    </row>
    <row r="23" spans="1:22" s="111" customFormat="1" ht="34.5" customHeight="1" x14ac:dyDescent="0.4">
      <c r="A23" s="167">
        <v>14</v>
      </c>
      <c r="B23" s="167" t="s">
        <v>71</v>
      </c>
      <c r="C23" s="109">
        <v>410.12999999999994</v>
      </c>
      <c r="D23" s="109">
        <v>2.2000000000000002</v>
      </c>
      <c r="E23" s="109">
        <v>21.47</v>
      </c>
      <c r="F23" s="109">
        <v>0</v>
      </c>
      <c r="G23" s="109">
        <v>0.1</v>
      </c>
      <c r="H23" s="109">
        <v>412.32999999999993</v>
      </c>
      <c r="I23" s="109">
        <v>72.300000000000011</v>
      </c>
      <c r="J23" s="109">
        <v>0.18</v>
      </c>
      <c r="K23" s="109">
        <v>44.199999999999989</v>
      </c>
      <c r="L23" s="109">
        <v>0.1</v>
      </c>
      <c r="M23" s="109">
        <v>0.1</v>
      </c>
      <c r="N23" s="109">
        <v>72.38000000000001</v>
      </c>
      <c r="O23" s="109">
        <v>22.5</v>
      </c>
      <c r="P23" s="109">
        <v>0</v>
      </c>
      <c r="Q23" s="109">
        <v>0.22999999999999998</v>
      </c>
      <c r="R23" s="109">
        <v>0</v>
      </c>
      <c r="S23" s="109">
        <v>0</v>
      </c>
      <c r="T23" s="109">
        <v>22.5</v>
      </c>
      <c r="U23" s="109">
        <v>507.20999999999992</v>
      </c>
      <c r="V23" s="164"/>
    </row>
    <row r="24" spans="1:22" s="111" customFormat="1" ht="34.5" customHeight="1" x14ac:dyDescent="0.4">
      <c r="A24" s="166"/>
      <c r="B24" s="166" t="s">
        <v>28</v>
      </c>
      <c r="C24" s="110">
        <v>1344.03</v>
      </c>
      <c r="D24" s="110">
        <v>2.37</v>
      </c>
      <c r="E24" s="110">
        <v>40.959999999999994</v>
      </c>
      <c r="F24" s="110">
        <v>0</v>
      </c>
      <c r="G24" s="110">
        <v>0.2</v>
      </c>
      <c r="H24" s="110">
        <v>1346.4</v>
      </c>
      <c r="I24" s="110">
        <v>950.173</v>
      </c>
      <c r="J24" s="110">
        <v>1.38</v>
      </c>
      <c r="K24" s="110">
        <v>102.86999999999998</v>
      </c>
      <c r="L24" s="110">
        <v>0.1</v>
      </c>
      <c r="M24" s="110">
        <v>0.1</v>
      </c>
      <c r="N24" s="110">
        <v>951.45299999999997</v>
      </c>
      <c r="O24" s="110">
        <v>95.6</v>
      </c>
      <c r="P24" s="110">
        <v>0</v>
      </c>
      <c r="Q24" s="110">
        <v>0.89</v>
      </c>
      <c r="R24" s="110">
        <v>0</v>
      </c>
      <c r="S24" s="110">
        <v>0</v>
      </c>
      <c r="T24" s="110">
        <v>95.6</v>
      </c>
      <c r="U24" s="110">
        <v>2393.4530000000004</v>
      </c>
    </row>
    <row r="25" spans="1:22" s="111" customFormat="1" ht="34.5" customHeight="1" x14ac:dyDescent="0.4">
      <c r="A25" s="166"/>
      <c r="B25" s="166" t="s">
        <v>29</v>
      </c>
      <c r="C25" s="110">
        <v>5906.2479999999996</v>
      </c>
      <c r="D25" s="110">
        <v>3.5200000000000005</v>
      </c>
      <c r="E25" s="110">
        <v>83.655999999999977</v>
      </c>
      <c r="F25" s="110">
        <v>0</v>
      </c>
      <c r="G25" s="110">
        <v>0.2</v>
      </c>
      <c r="H25" s="110">
        <v>5909.768</v>
      </c>
      <c r="I25" s="110">
        <v>4968.6509999999998</v>
      </c>
      <c r="J25" s="110">
        <v>14.419999999999998</v>
      </c>
      <c r="K25" s="110">
        <v>445.44599999999997</v>
      </c>
      <c r="L25" s="110">
        <v>0.1</v>
      </c>
      <c r="M25" s="110">
        <v>0.1</v>
      </c>
      <c r="N25" s="110">
        <v>4982.9709999999995</v>
      </c>
      <c r="O25" s="110">
        <v>642.85199999999986</v>
      </c>
      <c r="P25" s="110">
        <v>7.0200000000000005</v>
      </c>
      <c r="Q25" s="110">
        <v>20.755000000000003</v>
      </c>
      <c r="R25" s="110">
        <v>0</v>
      </c>
      <c r="S25" s="110">
        <v>0</v>
      </c>
      <c r="T25" s="110">
        <v>649.87199999999996</v>
      </c>
      <c r="U25" s="110">
        <v>11542.611000000001</v>
      </c>
    </row>
    <row r="26" spans="1:22" ht="34.5" customHeight="1" x14ac:dyDescent="0.35">
      <c r="A26" s="167">
        <v>15</v>
      </c>
      <c r="B26" s="167" t="s">
        <v>30</v>
      </c>
      <c r="C26" s="109">
        <v>7143.4199999999983</v>
      </c>
      <c r="D26" s="109">
        <v>17.86</v>
      </c>
      <c r="E26" s="109">
        <v>215.39999999999998</v>
      </c>
      <c r="F26" s="109">
        <v>0</v>
      </c>
      <c r="G26" s="109">
        <v>0</v>
      </c>
      <c r="H26" s="109">
        <v>7161.2799999999979</v>
      </c>
      <c r="I26" s="109">
        <v>58.64</v>
      </c>
      <c r="J26" s="109">
        <v>0.1</v>
      </c>
      <c r="K26" s="109">
        <v>9.34</v>
      </c>
      <c r="L26" s="109">
        <v>0</v>
      </c>
      <c r="M26" s="109">
        <v>0</v>
      </c>
      <c r="N26" s="109">
        <v>58.74</v>
      </c>
      <c r="O26" s="109">
        <v>1.02</v>
      </c>
      <c r="P26" s="109">
        <v>0</v>
      </c>
      <c r="Q26" s="109">
        <v>0.59</v>
      </c>
      <c r="R26" s="109">
        <v>0</v>
      </c>
      <c r="S26" s="109">
        <v>0</v>
      </c>
      <c r="T26" s="109">
        <v>1.02</v>
      </c>
      <c r="U26" s="109">
        <v>7221.0399999999981</v>
      </c>
    </row>
    <row r="27" spans="1:22" s="111" customFormat="1" ht="34.5" customHeight="1" x14ac:dyDescent="0.4">
      <c r="A27" s="167">
        <v>16</v>
      </c>
      <c r="B27" s="167" t="s">
        <v>31</v>
      </c>
      <c r="C27" s="109">
        <v>5025.590000000002</v>
      </c>
      <c r="D27" s="109">
        <v>3.63</v>
      </c>
      <c r="E27" s="109">
        <v>379.98999999999995</v>
      </c>
      <c r="F27" s="109">
        <v>0</v>
      </c>
      <c r="G27" s="109">
        <v>0</v>
      </c>
      <c r="H27" s="109">
        <v>5029.2200000000021</v>
      </c>
      <c r="I27" s="109">
        <v>527.10799999999995</v>
      </c>
      <c r="J27" s="109">
        <v>3.3</v>
      </c>
      <c r="K27" s="109">
        <v>18.510000000000002</v>
      </c>
      <c r="L27" s="109">
        <v>0</v>
      </c>
      <c r="M27" s="109">
        <v>0</v>
      </c>
      <c r="N27" s="109">
        <v>530.4079999999999</v>
      </c>
      <c r="O27" s="109">
        <v>3.9700000000000006</v>
      </c>
      <c r="P27" s="109">
        <v>0.24</v>
      </c>
      <c r="Q27" s="109">
        <v>1.97</v>
      </c>
      <c r="R27" s="109">
        <v>0</v>
      </c>
      <c r="S27" s="109">
        <v>0</v>
      </c>
      <c r="T27" s="109">
        <v>4.2100000000000009</v>
      </c>
      <c r="U27" s="109">
        <v>5563.8380000000025</v>
      </c>
      <c r="V27" s="164"/>
    </row>
    <row r="28" spans="1:22" s="111" customFormat="1" ht="34.5" customHeight="1" x14ac:dyDescent="0.4">
      <c r="A28" s="166"/>
      <c r="B28" s="166" t="s">
        <v>32</v>
      </c>
      <c r="C28" s="110">
        <v>12169.01</v>
      </c>
      <c r="D28" s="110">
        <v>21.49</v>
      </c>
      <c r="E28" s="110">
        <v>595.38999999999987</v>
      </c>
      <c r="F28" s="110">
        <v>0</v>
      </c>
      <c r="G28" s="110">
        <v>0</v>
      </c>
      <c r="H28" s="110">
        <v>12190.5</v>
      </c>
      <c r="I28" s="110">
        <v>585.74799999999993</v>
      </c>
      <c r="J28" s="110">
        <v>3.4</v>
      </c>
      <c r="K28" s="110">
        <v>27.85</v>
      </c>
      <c r="L28" s="110">
        <v>0</v>
      </c>
      <c r="M28" s="110">
        <v>0</v>
      </c>
      <c r="N28" s="110">
        <v>589.14799999999991</v>
      </c>
      <c r="O28" s="110">
        <v>4.99</v>
      </c>
      <c r="P28" s="110">
        <v>0.24</v>
      </c>
      <c r="Q28" s="110">
        <v>2.56</v>
      </c>
      <c r="R28" s="110">
        <v>0</v>
      </c>
      <c r="S28" s="110">
        <v>0</v>
      </c>
      <c r="T28" s="110">
        <v>5.23</v>
      </c>
      <c r="U28" s="110">
        <v>12784.878000000001</v>
      </c>
    </row>
    <row r="29" spans="1:22" ht="34.5" customHeight="1" x14ac:dyDescent="0.35">
      <c r="A29" s="167">
        <v>17</v>
      </c>
      <c r="B29" s="167" t="s">
        <v>33</v>
      </c>
      <c r="C29" s="109">
        <v>3646.7179999999994</v>
      </c>
      <c r="D29" s="109">
        <v>1.399</v>
      </c>
      <c r="E29" s="109">
        <v>128.315</v>
      </c>
      <c r="F29" s="109">
        <v>0</v>
      </c>
      <c r="G29" s="109">
        <v>0</v>
      </c>
      <c r="H29" s="109">
        <v>3648.1169999999993</v>
      </c>
      <c r="I29" s="109">
        <v>87.14</v>
      </c>
      <c r="J29" s="109">
        <v>0</v>
      </c>
      <c r="K29" s="109">
        <v>11.498999999999999</v>
      </c>
      <c r="L29" s="109">
        <v>0</v>
      </c>
      <c r="M29" s="109">
        <v>0</v>
      </c>
      <c r="N29" s="109">
        <v>87.14</v>
      </c>
      <c r="O29" s="109">
        <v>57.720000000000006</v>
      </c>
      <c r="P29" s="109">
        <v>0</v>
      </c>
      <c r="Q29" s="109">
        <v>0.05</v>
      </c>
      <c r="R29" s="109">
        <v>0</v>
      </c>
      <c r="S29" s="109">
        <v>0</v>
      </c>
      <c r="T29" s="109">
        <v>57.720000000000006</v>
      </c>
      <c r="U29" s="109">
        <v>3792.976999999999</v>
      </c>
    </row>
    <row r="30" spans="1:22" ht="34.5" customHeight="1" x14ac:dyDescent="0.35">
      <c r="A30" s="167">
        <v>18</v>
      </c>
      <c r="B30" s="167" t="s">
        <v>64</v>
      </c>
      <c r="C30" s="109">
        <v>322.07699999999994</v>
      </c>
      <c r="D30" s="109">
        <v>35.524999999999999</v>
      </c>
      <c r="E30" s="109">
        <v>397.67499999999995</v>
      </c>
      <c r="F30" s="109">
        <v>0</v>
      </c>
      <c r="G30" s="109">
        <v>0</v>
      </c>
      <c r="H30" s="109">
        <v>357.60199999999992</v>
      </c>
      <c r="I30" s="109">
        <v>20.097000000000001</v>
      </c>
      <c r="J30" s="109">
        <v>0</v>
      </c>
      <c r="K30" s="109">
        <v>59.099999999999994</v>
      </c>
      <c r="L30" s="109">
        <v>0</v>
      </c>
      <c r="M30" s="109">
        <v>0</v>
      </c>
      <c r="N30" s="109">
        <v>20.097000000000001</v>
      </c>
      <c r="O30" s="109">
        <v>0.05</v>
      </c>
      <c r="P30" s="109">
        <v>0</v>
      </c>
      <c r="Q30" s="109">
        <v>85.8</v>
      </c>
      <c r="R30" s="109">
        <v>0</v>
      </c>
      <c r="S30" s="109">
        <v>0</v>
      </c>
      <c r="T30" s="109">
        <v>0.05</v>
      </c>
      <c r="U30" s="109">
        <v>377.74899999999991</v>
      </c>
    </row>
    <row r="31" spans="1:22" s="111" customFormat="1" ht="34.5" customHeight="1" x14ac:dyDescent="0.4">
      <c r="A31" s="167">
        <v>19</v>
      </c>
      <c r="B31" s="167" t="s">
        <v>34</v>
      </c>
      <c r="C31" s="109">
        <v>4169.701</v>
      </c>
      <c r="D31" s="109">
        <v>11.5</v>
      </c>
      <c r="E31" s="109">
        <v>134.72649999999999</v>
      </c>
      <c r="F31" s="109">
        <v>0</v>
      </c>
      <c r="G31" s="109">
        <v>0</v>
      </c>
      <c r="H31" s="109">
        <v>4181.201</v>
      </c>
      <c r="I31" s="109">
        <v>100.31000000000002</v>
      </c>
      <c r="J31" s="109">
        <v>0</v>
      </c>
      <c r="K31" s="109">
        <v>8.8699999999999992</v>
      </c>
      <c r="L31" s="109">
        <v>0</v>
      </c>
      <c r="M31" s="109">
        <v>0</v>
      </c>
      <c r="N31" s="109">
        <v>100.31000000000002</v>
      </c>
      <c r="O31" s="109">
        <v>158.35</v>
      </c>
      <c r="P31" s="109">
        <v>0</v>
      </c>
      <c r="Q31" s="109">
        <v>2</v>
      </c>
      <c r="R31" s="109">
        <v>0</v>
      </c>
      <c r="S31" s="109">
        <v>0</v>
      </c>
      <c r="T31" s="109">
        <v>158.35</v>
      </c>
      <c r="U31" s="109">
        <v>4439.8610000000008</v>
      </c>
      <c r="V31" s="164"/>
    </row>
    <row r="32" spans="1:22" ht="34.5" customHeight="1" x14ac:dyDescent="0.35">
      <c r="A32" s="167">
        <v>20</v>
      </c>
      <c r="B32" s="167" t="s">
        <v>35</v>
      </c>
      <c r="C32" s="109">
        <v>2511.1648000000005</v>
      </c>
      <c r="D32" s="109">
        <v>5.1440000000000001</v>
      </c>
      <c r="E32" s="109">
        <v>713.37649999999985</v>
      </c>
      <c r="F32" s="109">
        <v>0</v>
      </c>
      <c r="G32" s="109">
        <v>0</v>
      </c>
      <c r="H32" s="109">
        <v>2516.3088000000002</v>
      </c>
      <c r="I32" s="109">
        <v>157.13900000000001</v>
      </c>
      <c r="J32" s="109">
        <v>1.4100000000000001</v>
      </c>
      <c r="K32" s="109">
        <v>120.61399999999999</v>
      </c>
      <c r="L32" s="109">
        <v>0</v>
      </c>
      <c r="M32" s="109">
        <v>0</v>
      </c>
      <c r="N32" s="109">
        <v>158.54900000000001</v>
      </c>
      <c r="O32" s="109">
        <v>20.149999999999999</v>
      </c>
      <c r="P32" s="109">
        <v>0</v>
      </c>
      <c r="Q32" s="109">
        <v>89.32</v>
      </c>
      <c r="R32" s="109">
        <v>0</v>
      </c>
      <c r="S32" s="109">
        <v>0</v>
      </c>
      <c r="T32" s="109">
        <v>20.149999999999999</v>
      </c>
      <c r="U32" s="109">
        <v>2695.0078000000003</v>
      </c>
    </row>
    <row r="33" spans="1:22" s="111" customFormat="1" ht="34.5" customHeight="1" x14ac:dyDescent="0.4">
      <c r="A33" s="166"/>
      <c r="B33" s="166" t="s">
        <v>36</v>
      </c>
      <c r="C33" s="110">
        <v>10649.6608</v>
      </c>
      <c r="D33" s="110">
        <v>53.567999999999998</v>
      </c>
      <c r="E33" s="110">
        <v>1374.0929999999998</v>
      </c>
      <c r="F33" s="110">
        <v>0</v>
      </c>
      <c r="G33" s="110">
        <v>0</v>
      </c>
      <c r="H33" s="110">
        <v>10703.228799999999</v>
      </c>
      <c r="I33" s="110">
        <v>364.68600000000004</v>
      </c>
      <c r="J33" s="110">
        <v>1.4100000000000001</v>
      </c>
      <c r="K33" s="110">
        <v>200.08299999999997</v>
      </c>
      <c r="L33" s="110">
        <v>0</v>
      </c>
      <c r="M33" s="110">
        <v>0</v>
      </c>
      <c r="N33" s="110">
        <v>366.096</v>
      </c>
      <c r="O33" s="110">
        <v>236.27</v>
      </c>
      <c r="P33" s="110">
        <v>0</v>
      </c>
      <c r="Q33" s="110">
        <v>177.17</v>
      </c>
      <c r="R33" s="110">
        <v>0</v>
      </c>
      <c r="S33" s="110">
        <v>0</v>
      </c>
      <c r="T33" s="110">
        <v>236.27</v>
      </c>
      <c r="U33" s="110">
        <v>11305.594799999999</v>
      </c>
      <c r="V33" s="111">
        <v>0</v>
      </c>
    </row>
    <row r="34" spans="1:22" ht="34.5" customHeight="1" x14ac:dyDescent="0.35">
      <c r="A34" s="167">
        <v>21</v>
      </c>
      <c r="B34" s="167" t="s">
        <v>37</v>
      </c>
      <c r="C34" s="109">
        <v>4139.01</v>
      </c>
      <c r="D34" s="109">
        <v>4.87</v>
      </c>
      <c r="E34" s="109">
        <v>237.41000000000003</v>
      </c>
      <c r="F34" s="109">
        <v>0</v>
      </c>
      <c r="G34" s="109">
        <v>0</v>
      </c>
      <c r="H34" s="109">
        <v>4143.88</v>
      </c>
      <c r="I34" s="109">
        <v>7.6</v>
      </c>
      <c r="J34" s="109">
        <v>0</v>
      </c>
      <c r="K34" s="109">
        <v>0</v>
      </c>
      <c r="L34" s="109">
        <v>0</v>
      </c>
      <c r="M34" s="109">
        <v>0</v>
      </c>
      <c r="N34" s="109">
        <v>7.6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4151.4800000000005</v>
      </c>
    </row>
    <row r="35" spans="1:22" ht="34.5" customHeight="1" x14ac:dyDescent="0.35">
      <c r="A35" s="167">
        <v>22</v>
      </c>
      <c r="B35" s="167" t="s">
        <v>38</v>
      </c>
      <c r="C35" s="109">
        <v>5618.6499999999978</v>
      </c>
      <c r="D35" s="109">
        <v>40.119999999999997</v>
      </c>
      <c r="E35" s="109">
        <v>186.88</v>
      </c>
      <c r="F35" s="109">
        <v>0</v>
      </c>
      <c r="G35" s="109">
        <v>0</v>
      </c>
      <c r="H35" s="109">
        <v>5658.7699999999977</v>
      </c>
      <c r="I35" s="109">
        <v>4</v>
      </c>
      <c r="J35" s="109">
        <v>0</v>
      </c>
      <c r="K35" s="109">
        <v>0</v>
      </c>
      <c r="L35" s="109">
        <v>0</v>
      </c>
      <c r="M35" s="109">
        <v>0</v>
      </c>
      <c r="N35" s="109">
        <v>4</v>
      </c>
      <c r="O35" s="109">
        <v>0.03</v>
      </c>
      <c r="P35" s="109">
        <v>0</v>
      </c>
      <c r="Q35" s="109">
        <v>0</v>
      </c>
      <c r="R35" s="109">
        <v>0</v>
      </c>
      <c r="S35" s="109">
        <v>0</v>
      </c>
      <c r="T35" s="109">
        <v>0.03</v>
      </c>
      <c r="U35" s="109">
        <v>5662.7999999999975</v>
      </c>
    </row>
    <row r="36" spans="1:22" s="111" customFormat="1" ht="34.5" customHeight="1" x14ac:dyDescent="0.4">
      <c r="A36" s="167">
        <v>23</v>
      </c>
      <c r="B36" s="167" t="s">
        <v>39</v>
      </c>
      <c r="C36" s="109">
        <v>2687.88</v>
      </c>
      <c r="D36" s="109">
        <v>15.36</v>
      </c>
      <c r="E36" s="109">
        <v>210.70999999999998</v>
      </c>
      <c r="F36" s="109">
        <v>0</v>
      </c>
      <c r="G36" s="109">
        <v>0</v>
      </c>
      <c r="H36" s="109">
        <v>2703.2400000000002</v>
      </c>
      <c r="I36" s="109">
        <v>155.65000000000003</v>
      </c>
      <c r="J36" s="109">
        <v>0</v>
      </c>
      <c r="K36" s="109">
        <v>0</v>
      </c>
      <c r="L36" s="109">
        <v>0</v>
      </c>
      <c r="M36" s="109">
        <v>0</v>
      </c>
      <c r="N36" s="109">
        <v>155.65000000000003</v>
      </c>
      <c r="O36" s="109">
        <v>2.2000000000000002</v>
      </c>
      <c r="P36" s="109">
        <v>0</v>
      </c>
      <c r="Q36" s="109">
        <v>0</v>
      </c>
      <c r="R36" s="109">
        <v>0</v>
      </c>
      <c r="S36" s="109">
        <v>0</v>
      </c>
      <c r="T36" s="109">
        <v>2.2000000000000002</v>
      </c>
      <c r="U36" s="109">
        <v>2861.09</v>
      </c>
      <c r="V36" s="164"/>
    </row>
    <row r="37" spans="1:22" s="111" customFormat="1" ht="34.5" customHeight="1" x14ac:dyDescent="0.4">
      <c r="A37" s="167">
        <v>24</v>
      </c>
      <c r="B37" s="167" t="s">
        <v>40</v>
      </c>
      <c r="C37" s="109">
        <v>4621.84</v>
      </c>
      <c r="D37" s="109">
        <v>9.6199999999999992</v>
      </c>
      <c r="E37" s="109">
        <v>527.11</v>
      </c>
      <c r="F37" s="109">
        <v>0</v>
      </c>
      <c r="G37" s="109">
        <v>0</v>
      </c>
      <c r="H37" s="109">
        <v>4631.46</v>
      </c>
      <c r="I37" s="109">
        <v>6.92</v>
      </c>
      <c r="J37" s="109">
        <v>0</v>
      </c>
      <c r="K37" s="109">
        <v>0</v>
      </c>
      <c r="L37" s="109">
        <v>0</v>
      </c>
      <c r="M37" s="109">
        <v>0</v>
      </c>
      <c r="N37" s="109">
        <v>6.92</v>
      </c>
      <c r="O37" s="109">
        <v>1.04</v>
      </c>
      <c r="P37" s="109">
        <v>0</v>
      </c>
      <c r="Q37" s="109">
        <v>0</v>
      </c>
      <c r="R37" s="109">
        <v>0</v>
      </c>
      <c r="S37" s="109">
        <v>0</v>
      </c>
      <c r="T37" s="109">
        <v>1.04</v>
      </c>
      <c r="U37" s="109">
        <v>4639.42</v>
      </c>
      <c r="V37" s="164"/>
    </row>
    <row r="38" spans="1:22" s="111" customFormat="1" ht="34.5" customHeight="1" x14ac:dyDescent="0.4">
      <c r="A38" s="166"/>
      <c r="B38" s="166" t="s">
        <v>41</v>
      </c>
      <c r="C38" s="110">
        <v>17067.379999999997</v>
      </c>
      <c r="D38" s="110">
        <v>69.97</v>
      </c>
      <c r="E38" s="110">
        <v>1162.1100000000001</v>
      </c>
      <c r="F38" s="110">
        <v>0</v>
      </c>
      <c r="G38" s="110">
        <v>0</v>
      </c>
      <c r="H38" s="110">
        <v>17137.349999999999</v>
      </c>
      <c r="I38" s="110">
        <v>174.17000000000002</v>
      </c>
      <c r="J38" s="110">
        <v>0</v>
      </c>
      <c r="K38" s="110">
        <v>0</v>
      </c>
      <c r="L38" s="110">
        <v>0</v>
      </c>
      <c r="M38" s="110">
        <v>0</v>
      </c>
      <c r="N38" s="110">
        <v>174.17000000000002</v>
      </c>
      <c r="O38" s="110">
        <v>3.27</v>
      </c>
      <c r="P38" s="110">
        <v>0</v>
      </c>
      <c r="Q38" s="110">
        <v>0</v>
      </c>
      <c r="R38" s="110">
        <v>0</v>
      </c>
      <c r="S38" s="110">
        <v>0</v>
      </c>
      <c r="T38" s="110">
        <v>3.27</v>
      </c>
      <c r="U38" s="110">
        <v>17314.79</v>
      </c>
    </row>
    <row r="39" spans="1:22" s="111" customFormat="1" ht="34.5" customHeight="1" x14ac:dyDescent="0.4">
      <c r="A39" s="166"/>
      <c r="B39" s="166" t="s">
        <v>42</v>
      </c>
      <c r="C39" s="110">
        <v>39886.050799999997</v>
      </c>
      <c r="D39" s="110">
        <v>145.02799999999999</v>
      </c>
      <c r="E39" s="110">
        <v>3131.5929999999998</v>
      </c>
      <c r="F39" s="110">
        <v>0</v>
      </c>
      <c r="G39" s="110">
        <v>0</v>
      </c>
      <c r="H39" s="110">
        <v>40031.078799999996</v>
      </c>
      <c r="I39" s="110">
        <v>1124.6039999999998</v>
      </c>
      <c r="J39" s="110">
        <v>4.8100000000000005</v>
      </c>
      <c r="K39" s="110">
        <v>227.93299999999996</v>
      </c>
      <c r="L39" s="110">
        <v>0</v>
      </c>
      <c r="M39" s="110">
        <v>0</v>
      </c>
      <c r="N39" s="110">
        <v>1129.414</v>
      </c>
      <c r="O39" s="110">
        <v>244.53000000000003</v>
      </c>
      <c r="P39" s="110">
        <v>0.24</v>
      </c>
      <c r="Q39" s="110">
        <v>179.73</v>
      </c>
      <c r="R39" s="110">
        <v>0</v>
      </c>
      <c r="S39" s="110">
        <v>0</v>
      </c>
      <c r="T39" s="110">
        <v>244.77</v>
      </c>
      <c r="U39" s="110">
        <v>41405.262799999997</v>
      </c>
    </row>
    <row r="40" spans="1:22" ht="34.5" customHeight="1" x14ac:dyDescent="0.35">
      <c r="A40" s="167">
        <v>25</v>
      </c>
      <c r="B40" s="167" t="s">
        <v>43</v>
      </c>
      <c r="C40" s="109">
        <v>10586.019999999999</v>
      </c>
      <c r="D40" s="109">
        <v>12.7</v>
      </c>
      <c r="E40" s="109">
        <v>232.99900000000002</v>
      </c>
      <c r="F40" s="109">
        <v>0</v>
      </c>
      <c r="G40" s="109">
        <v>0</v>
      </c>
      <c r="H40" s="109">
        <v>10598.72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10598.72</v>
      </c>
    </row>
    <row r="41" spans="1:22" ht="34.5" customHeight="1" x14ac:dyDescent="0.35">
      <c r="A41" s="167">
        <v>26</v>
      </c>
      <c r="B41" s="167" t="s">
        <v>44</v>
      </c>
      <c r="C41" s="109">
        <v>6993.6859999999951</v>
      </c>
      <c r="D41" s="109">
        <v>7.96</v>
      </c>
      <c r="E41" s="109">
        <v>695.89499999999998</v>
      </c>
      <c r="F41" s="109">
        <v>0</v>
      </c>
      <c r="G41" s="109">
        <v>0</v>
      </c>
      <c r="H41" s="109">
        <v>7001.6459999999952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7001.6459999999952</v>
      </c>
    </row>
    <row r="42" spans="1:22" s="111" customFormat="1" ht="34.5" customHeight="1" x14ac:dyDescent="0.4">
      <c r="A42" s="167">
        <v>27</v>
      </c>
      <c r="B42" s="167" t="s">
        <v>45</v>
      </c>
      <c r="C42" s="109">
        <v>13227.215999999997</v>
      </c>
      <c r="D42" s="109">
        <v>36.799999999999997</v>
      </c>
      <c r="E42" s="109">
        <v>278.95000000000005</v>
      </c>
      <c r="F42" s="109">
        <v>0</v>
      </c>
      <c r="G42" s="109">
        <v>0</v>
      </c>
      <c r="H42" s="109">
        <v>13264.015999999996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13264.015999999996</v>
      </c>
      <c r="V42" s="164"/>
    </row>
    <row r="43" spans="1:22" ht="34.5" customHeight="1" x14ac:dyDescent="0.35">
      <c r="A43" s="167">
        <v>28</v>
      </c>
      <c r="B43" s="167" t="s">
        <v>63</v>
      </c>
      <c r="C43" s="109">
        <v>716.3180000000001</v>
      </c>
      <c r="D43" s="109">
        <v>6.65</v>
      </c>
      <c r="E43" s="109">
        <v>1463.6289999999999</v>
      </c>
      <c r="F43" s="109">
        <v>0</v>
      </c>
      <c r="G43" s="109">
        <v>0</v>
      </c>
      <c r="H43" s="109">
        <v>722.96800000000007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722.96800000000007</v>
      </c>
    </row>
    <row r="44" spans="1:22" s="111" customFormat="1" ht="34.5" customHeight="1" x14ac:dyDescent="0.4">
      <c r="A44" s="166"/>
      <c r="B44" s="166" t="s">
        <v>46</v>
      </c>
      <c r="C44" s="110">
        <v>31523.239999999991</v>
      </c>
      <c r="D44" s="110">
        <v>64.11</v>
      </c>
      <c r="E44" s="110">
        <v>2671.473</v>
      </c>
      <c r="F44" s="110">
        <v>0</v>
      </c>
      <c r="G44" s="110">
        <v>0</v>
      </c>
      <c r="H44" s="110">
        <v>31587.349999999991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31587.349999999991</v>
      </c>
    </row>
    <row r="45" spans="1:22" ht="34.5" customHeight="1" x14ac:dyDescent="0.35">
      <c r="A45" s="167">
        <v>29</v>
      </c>
      <c r="B45" s="167" t="s">
        <v>47</v>
      </c>
      <c r="C45" s="109">
        <v>7819.272100000002</v>
      </c>
      <c r="D45" s="109">
        <v>11.98</v>
      </c>
      <c r="E45" s="109">
        <v>379.125</v>
      </c>
      <c r="F45" s="109">
        <v>0</v>
      </c>
      <c r="G45" s="109">
        <v>0</v>
      </c>
      <c r="H45" s="109">
        <v>7831.2521000000015</v>
      </c>
      <c r="I45" s="109">
        <v>0.70000000000000007</v>
      </c>
      <c r="J45" s="109">
        <v>0</v>
      </c>
      <c r="K45" s="109">
        <v>0</v>
      </c>
      <c r="L45" s="109">
        <v>0</v>
      </c>
      <c r="M45" s="109">
        <v>0</v>
      </c>
      <c r="N45" s="109">
        <v>0.70000000000000007</v>
      </c>
      <c r="O45" s="109">
        <v>14.43</v>
      </c>
      <c r="P45" s="109">
        <v>0</v>
      </c>
      <c r="Q45" s="109">
        <v>0</v>
      </c>
      <c r="R45" s="109">
        <v>0</v>
      </c>
      <c r="S45" s="109">
        <v>0</v>
      </c>
      <c r="T45" s="109">
        <v>14.43</v>
      </c>
      <c r="U45" s="109">
        <v>7846.3821000000016</v>
      </c>
    </row>
    <row r="46" spans="1:22" ht="34.5" customHeight="1" x14ac:dyDescent="0.35">
      <c r="A46" s="167">
        <v>30</v>
      </c>
      <c r="B46" s="167" t="s">
        <v>48</v>
      </c>
      <c r="C46" s="109">
        <v>7133.3650000000007</v>
      </c>
      <c r="D46" s="109">
        <v>26.49</v>
      </c>
      <c r="E46" s="109">
        <v>442.93</v>
      </c>
      <c r="F46" s="109">
        <v>0</v>
      </c>
      <c r="G46" s="109">
        <v>0</v>
      </c>
      <c r="H46" s="109">
        <v>7159.8550000000005</v>
      </c>
      <c r="I46" s="109">
        <v>0.96</v>
      </c>
      <c r="J46" s="109">
        <v>0</v>
      </c>
      <c r="K46" s="109">
        <v>0</v>
      </c>
      <c r="L46" s="109">
        <v>0</v>
      </c>
      <c r="M46" s="109">
        <v>0</v>
      </c>
      <c r="N46" s="109">
        <v>0.96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7160.8150000000005</v>
      </c>
    </row>
    <row r="47" spans="1:22" s="111" customFormat="1" ht="34.5" customHeight="1" x14ac:dyDescent="0.4">
      <c r="A47" s="167">
        <v>31</v>
      </c>
      <c r="B47" s="167" t="s">
        <v>49</v>
      </c>
      <c r="C47" s="109">
        <v>7850.3400000000011</v>
      </c>
      <c r="D47" s="109">
        <v>67.39</v>
      </c>
      <c r="E47" s="109">
        <v>1054.2</v>
      </c>
      <c r="F47" s="109">
        <v>0</v>
      </c>
      <c r="G47" s="109">
        <v>0</v>
      </c>
      <c r="H47" s="109">
        <v>7917.7300000000014</v>
      </c>
      <c r="I47" s="109">
        <v>6.89</v>
      </c>
      <c r="J47" s="109">
        <v>0</v>
      </c>
      <c r="K47" s="109">
        <v>0</v>
      </c>
      <c r="L47" s="109">
        <v>0</v>
      </c>
      <c r="M47" s="109">
        <v>0</v>
      </c>
      <c r="N47" s="109">
        <v>6.89</v>
      </c>
      <c r="O47" s="109">
        <v>0.03</v>
      </c>
      <c r="P47" s="109">
        <v>0</v>
      </c>
      <c r="Q47" s="109">
        <v>0</v>
      </c>
      <c r="R47" s="109">
        <v>0</v>
      </c>
      <c r="S47" s="109">
        <v>0</v>
      </c>
      <c r="T47" s="109">
        <v>0.03</v>
      </c>
      <c r="U47" s="109">
        <v>7924.6500000000015</v>
      </c>
      <c r="V47" s="164"/>
    </row>
    <row r="48" spans="1:22" s="111" customFormat="1" ht="34.5" customHeight="1" x14ac:dyDescent="0.4">
      <c r="A48" s="167">
        <v>32</v>
      </c>
      <c r="B48" s="167" t="s">
        <v>50</v>
      </c>
      <c r="C48" s="109">
        <v>7149.4400000000005</v>
      </c>
      <c r="D48" s="109">
        <v>23.22</v>
      </c>
      <c r="E48" s="109">
        <v>1896.7371000000001</v>
      </c>
      <c r="F48" s="109">
        <v>0</v>
      </c>
      <c r="G48" s="109">
        <v>0</v>
      </c>
      <c r="H48" s="109">
        <v>7172.6600000000008</v>
      </c>
      <c r="I48" s="109">
        <v>0.505</v>
      </c>
      <c r="J48" s="109">
        <v>0</v>
      </c>
      <c r="K48" s="109">
        <v>0</v>
      </c>
      <c r="L48" s="109">
        <v>0</v>
      </c>
      <c r="M48" s="109">
        <v>0</v>
      </c>
      <c r="N48" s="109">
        <v>0.505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7173.1650000000009</v>
      </c>
      <c r="V48" s="164"/>
    </row>
    <row r="49" spans="1:21" s="111" customFormat="1" ht="51.75" customHeight="1" x14ac:dyDescent="0.4">
      <c r="A49" s="166"/>
      <c r="B49" s="166" t="s">
        <v>51</v>
      </c>
      <c r="C49" s="110">
        <v>29952.417100000006</v>
      </c>
      <c r="D49" s="110">
        <v>129.07999999999998</v>
      </c>
      <c r="E49" s="110">
        <v>3772.9921000000004</v>
      </c>
      <c r="F49" s="110">
        <v>0</v>
      </c>
      <c r="G49" s="110">
        <v>0</v>
      </c>
      <c r="H49" s="110">
        <v>30081.497100000004</v>
      </c>
      <c r="I49" s="110">
        <v>9.0550000000000015</v>
      </c>
      <c r="J49" s="110">
        <v>0</v>
      </c>
      <c r="K49" s="110">
        <v>0</v>
      </c>
      <c r="L49" s="110">
        <v>0</v>
      </c>
      <c r="M49" s="110">
        <v>0</v>
      </c>
      <c r="N49" s="110">
        <v>9.0550000000000015</v>
      </c>
      <c r="O49" s="110">
        <v>14.459999999999999</v>
      </c>
      <c r="P49" s="110">
        <v>0</v>
      </c>
      <c r="Q49" s="110">
        <v>0</v>
      </c>
      <c r="R49" s="110">
        <v>0</v>
      </c>
      <c r="S49" s="110">
        <v>0</v>
      </c>
      <c r="T49" s="110">
        <v>14.459999999999999</v>
      </c>
      <c r="U49" s="110">
        <v>30105.012100000004</v>
      </c>
    </row>
    <row r="50" spans="1:21" s="111" customFormat="1" ht="51.75" customHeight="1" x14ac:dyDescent="0.4">
      <c r="A50" s="166"/>
      <c r="B50" s="166" t="s">
        <v>52</v>
      </c>
      <c r="C50" s="110">
        <v>61475.657099999997</v>
      </c>
      <c r="D50" s="110">
        <v>193.19</v>
      </c>
      <c r="E50" s="110">
        <v>6444.4651000000003</v>
      </c>
      <c r="F50" s="110">
        <v>0</v>
      </c>
      <c r="G50" s="110">
        <v>0</v>
      </c>
      <c r="H50" s="110">
        <v>61668.847099999999</v>
      </c>
      <c r="I50" s="110">
        <v>9.0550000000000015</v>
      </c>
      <c r="J50" s="110">
        <v>0</v>
      </c>
      <c r="K50" s="110">
        <v>0</v>
      </c>
      <c r="L50" s="110">
        <v>0</v>
      </c>
      <c r="M50" s="110">
        <v>0</v>
      </c>
      <c r="N50" s="110">
        <v>9.0550000000000015</v>
      </c>
      <c r="O50" s="110">
        <v>14.459999999999999</v>
      </c>
      <c r="P50" s="110">
        <v>0</v>
      </c>
      <c r="Q50" s="110">
        <v>0</v>
      </c>
      <c r="R50" s="110">
        <v>0</v>
      </c>
      <c r="S50" s="110">
        <v>0</v>
      </c>
      <c r="T50" s="110">
        <v>14.459999999999999</v>
      </c>
      <c r="U50" s="110">
        <v>61692.362099999998</v>
      </c>
    </row>
    <row r="51" spans="1:21" s="111" customFormat="1" ht="51.75" customHeight="1" x14ac:dyDescent="0.4">
      <c r="A51" s="166"/>
      <c r="B51" s="166" t="s">
        <v>53</v>
      </c>
      <c r="C51" s="110">
        <v>107267.9559</v>
      </c>
      <c r="D51" s="110">
        <v>341.73799999999994</v>
      </c>
      <c r="E51" s="110">
        <v>9659.7141000000011</v>
      </c>
      <c r="F51" s="110">
        <v>0</v>
      </c>
      <c r="G51" s="110">
        <v>0.2</v>
      </c>
      <c r="H51" s="110">
        <v>107609.6939</v>
      </c>
      <c r="I51" s="110">
        <v>6102.3099999999995</v>
      </c>
      <c r="J51" s="110">
        <v>19.229999999999997</v>
      </c>
      <c r="K51" s="110">
        <v>673.37899999999991</v>
      </c>
      <c r="L51" s="110">
        <v>0.1</v>
      </c>
      <c r="M51" s="110">
        <v>0.1</v>
      </c>
      <c r="N51" s="110">
        <v>6121.44</v>
      </c>
      <c r="O51" s="110">
        <v>901.84199999999987</v>
      </c>
      <c r="P51" s="110">
        <v>7.2600000000000007</v>
      </c>
      <c r="Q51" s="110">
        <v>200.48499999999999</v>
      </c>
      <c r="R51" s="110">
        <v>0</v>
      </c>
      <c r="S51" s="110">
        <v>0</v>
      </c>
      <c r="T51" s="110">
        <v>909.10199999999998</v>
      </c>
      <c r="U51" s="110">
        <v>114640.2359</v>
      </c>
    </row>
    <row r="52" spans="1:21" s="116" customFormat="1" ht="55.5" customHeight="1" x14ac:dyDescent="0.25">
      <c r="C52" s="117"/>
      <c r="D52" s="117"/>
      <c r="E52" s="144">
        <v>9659.7141000000011</v>
      </c>
      <c r="F52" s="117"/>
      <c r="G52" s="117"/>
      <c r="H52" s="117"/>
      <c r="I52" s="117"/>
      <c r="J52" s="117"/>
      <c r="K52" s="144">
        <v>673.37900000000002</v>
      </c>
      <c r="L52" s="117"/>
      <c r="M52" s="117"/>
      <c r="N52" s="117"/>
      <c r="O52" s="117"/>
      <c r="P52" s="117"/>
      <c r="Q52" s="144">
        <v>200.48499999999996</v>
      </c>
      <c r="R52" s="117"/>
      <c r="S52" s="117"/>
      <c r="T52" s="117"/>
      <c r="U52" s="117"/>
    </row>
    <row r="53" spans="1:21" s="115" customFormat="1" ht="24.75" customHeight="1" x14ac:dyDescent="0.4">
      <c r="B53" s="164"/>
      <c r="C53" s="278" t="s">
        <v>54</v>
      </c>
      <c r="D53" s="278"/>
      <c r="E53" s="278"/>
      <c r="F53" s="278"/>
      <c r="G53" s="278"/>
      <c r="H53" s="118"/>
      <c r="I53" s="164"/>
      <c r="J53" s="164">
        <v>368.12799999999993</v>
      </c>
      <c r="K53" s="164"/>
      <c r="L53" s="164"/>
      <c r="M53" s="164"/>
      <c r="N53" s="164"/>
      <c r="R53" s="164"/>
      <c r="U53" s="164"/>
    </row>
    <row r="54" spans="1:21" s="115" customFormat="1" ht="30" customHeight="1" x14ac:dyDescent="0.35">
      <c r="B54" s="164"/>
      <c r="C54" s="164"/>
      <c r="D54" s="278" t="s">
        <v>55</v>
      </c>
      <c r="E54" s="278"/>
      <c r="F54" s="278"/>
      <c r="G54" s="278"/>
      <c r="H54" s="119"/>
      <c r="I54" s="164"/>
      <c r="J54" s="164">
        <v>10533.278100000001</v>
      </c>
      <c r="K54" s="164"/>
      <c r="L54" s="164"/>
      <c r="M54" s="164"/>
      <c r="N54" s="164"/>
      <c r="R54" s="164"/>
      <c r="T54" s="164"/>
    </row>
    <row r="55" spans="1:21" ht="33" customHeight="1" x14ac:dyDescent="0.5">
      <c r="C55" s="120"/>
      <c r="D55" s="278" t="s">
        <v>56</v>
      </c>
      <c r="E55" s="278"/>
      <c r="F55" s="278"/>
      <c r="G55" s="278"/>
      <c r="H55" s="119"/>
      <c r="I55" s="121"/>
      <c r="J55" s="164">
        <v>114640.2359</v>
      </c>
      <c r="K55" s="119"/>
      <c r="L55" s="119"/>
      <c r="M55" s="142">
        <v>114640.2359</v>
      </c>
      <c r="N55" s="119"/>
      <c r="P55" s="115"/>
      <c r="Q55" s="122"/>
      <c r="U55" s="122"/>
    </row>
    <row r="56" spans="1:21" ht="33" customHeight="1" x14ac:dyDescent="0.5">
      <c r="C56" s="120"/>
      <c r="D56" s="164"/>
      <c r="E56" s="164"/>
      <c r="F56" s="164"/>
      <c r="G56" s="164"/>
      <c r="H56" s="119"/>
      <c r="I56" s="121"/>
      <c r="J56" s="164"/>
      <c r="K56" s="119"/>
      <c r="L56" s="119"/>
      <c r="M56" s="143"/>
      <c r="N56" s="119"/>
      <c r="P56" s="115"/>
      <c r="Q56" s="122"/>
      <c r="U56" s="122"/>
    </row>
    <row r="57" spans="1:21" ht="33" customHeight="1" x14ac:dyDescent="0.5">
      <c r="C57" s="120"/>
      <c r="D57" s="164"/>
      <c r="E57" s="164"/>
      <c r="F57" s="164"/>
      <c r="G57" s="164"/>
      <c r="H57" s="119"/>
      <c r="I57" s="121"/>
      <c r="J57" s="164"/>
      <c r="K57" s="119"/>
      <c r="L57" s="119"/>
      <c r="M57" s="142">
        <v>113482.62589999998</v>
      </c>
      <c r="N57" s="119"/>
      <c r="P57" s="115"/>
      <c r="Q57" s="122"/>
      <c r="U57" s="122"/>
    </row>
    <row r="58" spans="1:21" ht="37.5" customHeight="1" x14ac:dyDescent="0.4">
      <c r="B58" s="279" t="s">
        <v>57</v>
      </c>
      <c r="C58" s="279"/>
      <c r="D58" s="279"/>
      <c r="E58" s="279"/>
      <c r="F58" s="279"/>
      <c r="G58" s="118"/>
      <c r="H58" s="111"/>
      <c r="I58" s="126"/>
      <c r="J58" s="280"/>
      <c r="K58" s="277"/>
      <c r="L58" s="277"/>
      <c r="M58" s="118"/>
      <c r="N58" s="111"/>
      <c r="O58" s="111"/>
      <c r="P58" s="165"/>
      <c r="Q58" s="279" t="s">
        <v>58</v>
      </c>
      <c r="R58" s="279"/>
      <c r="S58" s="279"/>
      <c r="T58" s="279"/>
      <c r="U58" s="279"/>
    </row>
    <row r="59" spans="1:21" ht="37.5" customHeight="1" x14ac:dyDescent="0.4">
      <c r="B59" s="279" t="s">
        <v>59</v>
      </c>
      <c r="C59" s="279"/>
      <c r="D59" s="279"/>
      <c r="E59" s="279"/>
      <c r="F59" s="279"/>
      <c r="G59" s="111"/>
      <c r="H59" s="118"/>
      <c r="I59" s="127"/>
      <c r="J59" s="128"/>
      <c r="K59" s="163"/>
      <c r="L59" s="128"/>
      <c r="M59" s="111"/>
      <c r="N59" s="118"/>
      <c r="O59" s="111"/>
      <c r="P59" s="165"/>
      <c r="Q59" s="279" t="s">
        <v>59</v>
      </c>
      <c r="R59" s="279"/>
      <c r="S59" s="279"/>
      <c r="T59" s="279"/>
      <c r="U59" s="279"/>
    </row>
    <row r="60" spans="1:21" ht="37.5" customHeight="1" x14ac:dyDescent="0.35">
      <c r="J60" s="277" t="s">
        <v>61</v>
      </c>
      <c r="K60" s="277"/>
      <c r="L60" s="277"/>
      <c r="M60" s="125">
        <v>112699.70189999999</v>
      </c>
    </row>
    <row r="61" spans="1:21" ht="37.5" customHeight="1" x14ac:dyDescent="0.35">
      <c r="G61" s="119"/>
      <c r="J61" s="277" t="s">
        <v>62</v>
      </c>
      <c r="K61" s="277"/>
      <c r="L61" s="277"/>
      <c r="M61" s="125">
        <v>112034.90889999999</v>
      </c>
    </row>
    <row r="63" spans="1:21" x14ac:dyDescent="0.35">
      <c r="H63" s="130"/>
      <c r="I63" s="131"/>
      <c r="J63" s="130"/>
    </row>
    <row r="64" spans="1:21" x14ac:dyDescent="0.35">
      <c r="H64" s="130"/>
      <c r="I64" s="131"/>
      <c r="J64" s="130"/>
    </row>
    <row r="65" spans="8:21" x14ac:dyDescent="0.35">
      <c r="H65" s="125"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3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J60:L60"/>
    <mergeCell ref="J61:L61"/>
    <mergeCell ref="D55:G55"/>
    <mergeCell ref="B58:F58"/>
    <mergeCell ref="J58:L58"/>
  </mergeCells>
  <pageMargins left="0.70866141732283472" right="0.70866141732283472" top="0.27559055118110237" bottom="0.51181102362204722" header="0.19685039370078741" footer="0.31496062992125984"/>
  <pageSetup paperSize="8" scale="3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topLeftCell="H1" zoomScale="48" zoomScaleNormal="48" workbookViewId="0">
      <pane ySplit="6" topLeftCell="A43" activePane="bottomLeft" state="frozen"/>
      <selection pane="bottomLeft" activeCell="C7" sqref="C7:U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139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02" t="s">
        <v>122</v>
      </c>
      <c r="B4" s="305" t="s">
        <v>121</v>
      </c>
      <c r="C4" s="281" t="s">
        <v>131</v>
      </c>
      <c r="D4" s="282"/>
      <c r="E4" s="282"/>
      <c r="F4" s="282"/>
      <c r="G4" s="282"/>
      <c r="H4" s="282"/>
      <c r="I4" s="281" t="s">
        <v>130</v>
      </c>
      <c r="J4" s="282"/>
      <c r="K4" s="282"/>
      <c r="L4" s="282"/>
      <c r="M4" s="282"/>
      <c r="N4" s="282"/>
      <c r="O4" s="281" t="s">
        <v>129</v>
      </c>
      <c r="P4" s="282"/>
      <c r="Q4" s="282"/>
      <c r="R4" s="282"/>
      <c r="S4" s="282"/>
      <c r="T4" s="282"/>
      <c r="U4" s="205"/>
    </row>
    <row r="5" spans="1:21" s="108" customFormat="1" ht="54.75" customHeight="1" x14ac:dyDescent="0.25">
      <c r="A5" s="304"/>
      <c r="B5" s="306"/>
      <c r="C5" s="291" t="s">
        <v>6</v>
      </c>
      <c r="D5" s="289" t="s">
        <v>127</v>
      </c>
      <c r="E5" s="290"/>
      <c r="F5" s="289" t="s">
        <v>126</v>
      </c>
      <c r="G5" s="290"/>
      <c r="H5" s="291" t="s">
        <v>9</v>
      </c>
      <c r="I5" s="291" t="s">
        <v>6</v>
      </c>
      <c r="J5" s="289" t="s">
        <v>127</v>
      </c>
      <c r="K5" s="290"/>
      <c r="L5" s="289" t="s">
        <v>126</v>
      </c>
      <c r="M5" s="290"/>
      <c r="N5" s="291" t="s">
        <v>9</v>
      </c>
      <c r="O5" s="291" t="s">
        <v>6</v>
      </c>
      <c r="P5" s="289" t="s">
        <v>127</v>
      </c>
      <c r="Q5" s="290"/>
      <c r="R5" s="289" t="s">
        <v>126</v>
      </c>
      <c r="S5" s="290"/>
      <c r="T5" s="291" t="s">
        <v>9</v>
      </c>
      <c r="U5" s="305" t="s">
        <v>128</v>
      </c>
    </row>
    <row r="6" spans="1:21" s="108" customFormat="1" ht="38.25" customHeight="1" x14ac:dyDescent="0.25">
      <c r="A6" s="304"/>
      <c r="B6" s="307"/>
      <c r="C6" s="292"/>
      <c r="D6" s="172" t="s">
        <v>124</v>
      </c>
      <c r="E6" s="172" t="s">
        <v>125</v>
      </c>
      <c r="F6" s="172" t="s">
        <v>124</v>
      </c>
      <c r="G6" s="172" t="s">
        <v>125</v>
      </c>
      <c r="H6" s="292"/>
      <c r="I6" s="292"/>
      <c r="J6" s="172" t="s">
        <v>124</v>
      </c>
      <c r="K6" s="172" t="s">
        <v>125</v>
      </c>
      <c r="L6" s="172" t="s">
        <v>124</v>
      </c>
      <c r="M6" s="172" t="s">
        <v>125</v>
      </c>
      <c r="N6" s="292"/>
      <c r="O6" s="292"/>
      <c r="P6" s="172" t="s">
        <v>124</v>
      </c>
      <c r="Q6" s="172" t="s">
        <v>125</v>
      </c>
      <c r="R6" s="172" t="s">
        <v>124</v>
      </c>
      <c r="S6" s="172" t="s">
        <v>125</v>
      </c>
      <c r="T6" s="292"/>
      <c r="U6" s="307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589.20799999999986</v>
      </c>
      <c r="J7" s="139">
        <v>0.47</v>
      </c>
      <c r="K7" s="139">
        <v>38.623000000000005</v>
      </c>
      <c r="L7" s="139">
        <v>0</v>
      </c>
      <c r="M7" s="139">
        <v>0</v>
      </c>
      <c r="N7" s="139">
        <v>589.67799999999988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1110.7099999999996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110.38400000000001</v>
      </c>
      <c r="J8" s="139">
        <v>1.208</v>
      </c>
      <c r="K8" s="139">
        <v>32.921999999999997</v>
      </c>
      <c r="L8" s="139">
        <v>0</v>
      </c>
      <c r="M8" s="139">
        <v>0</v>
      </c>
      <c r="N8" s="139">
        <v>111.59200000000001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117.13700000000001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542.77799999999991</v>
      </c>
      <c r="J9" s="139">
        <v>1.54</v>
      </c>
      <c r="K9" s="139">
        <v>8.5799999999999983</v>
      </c>
      <c r="L9" s="139">
        <v>0</v>
      </c>
      <c r="M9" s="139">
        <v>0</v>
      </c>
      <c r="N9" s="139">
        <v>544.31799999999987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897.88799999999992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484.15500000000003</v>
      </c>
      <c r="J10" s="139">
        <v>0.11</v>
      </c>
      <c r="K10" s="139">
        <v>3.8699999999999997</v>
      </c>
      <c r="L10" s="139">
        <v>0</v>
      </c>
      <c r="M10" s="139">
        <v>0</v>
      </c>
      <c r="N10" s="139">
        <v>484.26500000000004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492.42500000000007</v>
      </c>
    </row>
    <row r="11" spans="1:21" s="111" customFormat="1" ht="38.25" customHeight="1" x14ac:dyDescent="0.4">
      <c r="A11" s="308" t="s">
        <v>82</v>
      </c>
      <c r="B11" s="309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1726.5249999999999</v>
      </c>
      <c r="J11" s="141">
        <v>3.3279999999999998</v>
      </c>
      <c r="K11" s="141">
        <v>83.995000000000005</v>
      </c>
      <c r="L11" s="141">
        <v>0</v>
      </c>
      <c r="M11" s="141">
        <v>0</v>
      </c>
      <c r="N11" s="141">
        <v>1729.8529999999998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2618.16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786.34499999999991</v>
      </c>
      <c r="J12" s="139">
        <v>0.83</v>
      </c>
      <c r="K12" s="139">
        <v>65.135000000000005</v>
      </c>
      <c r="L12" s="139">
        <v>0</v>
      </c>
      <c r="M12" s="139">
        <v>0</v>
      </c>
      <c r="N12" s="139">
        <v>787.17499999999995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1364.8049999999996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524.07200000000023</v>
      </c>
      <c r="J13" s="139">
        <v>0.52</v>
      </c>
      <c r="K13" s="139">
        <v>3.6919999999999997</v>
      </c>
      <c r="L13" s="139">
        <v>0</v>
      </c>
      <c r="M13" s="139">
        <v>0</v>
      </c>
      <c r="N13" s="139">
        <v>524.59200000000021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861.70200000000034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862.25800000000027</v>
      </c>
      <c r="J14" s="139">
        <v>1.51</v>
      </c>
      <c r="K14" s="139">
        <v>35.367999999999995</v>
      </c>
      <c r="L14" s="139">
        <v>0</v>
      </c>
      <c r="M14" s="139">
        <v>0</v>
      </c>
      <c r="N14" s="139">
        <v>863.76800000000026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2199.4279999999999</v>
      </c>
    </row>
    <row r="15" spans="1:21" s="111" customFormat="1" ht="38.25" customHeight="1" x14ac:dyDescent="0.4">
      <c r="A15" s="308" t="s">
        <v>86</v>
      </c>
      <c r="B15" s="309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2172.6750000000002</v>
      </c>
      <c r="J15" s="141">
        <v>2.8600000000000003</v>
      </c>
      <c r="K15" s="141">
        <v>104.19499999999999</v>
      </c>
      <c r="L15" s="141">
        <v>0</v>
      </c>
      <c r="M15" s="141">
        <v>0</v>
      </c>
      <c r="N15" s="141">
        <v>2175.5350000000008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4425.9349999999995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980.74400000000037</v>
      </c>
      <c r="D16" s="139">
        <v>0.43</v>
      </c>
      <c r="E16" s="139">
        <v>1.5399999999999998</v>
      </c>
      <c r="F16" s="139">
        <v>0</v>
      </c>
      <c r="G16" s="139">
        <v>45.16</v>
      </c>
      <c r="H16" s="139">
        <v>981.17400000000032</v>
      </c>
      <c r="I16" s="139">
        <v>207.35599999999999</v>
      </c>
      <c r="J16" s="139">
        <v>29.04</v>
      </c>
      <c r="K16" s="139">
        <v>125.625</v>
      </c>
      <c r="L16" s="139">
        <v>0</v>
      </c>
      <c r="M16" s="139">
        <v>0</v>
      </c>
      <c r="N16" s="139">
        <v>236.39599999999999</v>
      </c>
      <c r="O16" s="139">
        <v>245.93200000000002</v>
      </c>
      <c r="P16" s="139">
        <v>0</v>
      </c>
      <c r="Q16" s="139">
        <v>0.03</v>
      </c>
      <c r="R16" s="139">
        <v>0</v>
      </c>
      <c r="S16" s="139">
        <v>0</v>
      </c>
      <c r="T16" s="139">
        <v>245.93200000000002</v>
      </c>
      <c r="U16" s="139">
        <v>1463.5020000000004</v>
      </c>
    </row>
    <row r="17" spans="1:21" ht="38.25" customHeight="1" x14ac:dyDescent="0.35">
      <c r="A17" s="171">
        <v>9</v>
      </c>
      <c r="B17" s="172" t="s">
        <v>120</v>
      </c>
      <c r="C17" s="139">
        <v>147.60599999999994</v>
      </c>
      <c r="D17" s="174">
        <v>0</v>
      </c>
      <c r="E17" s="139">
        <v>3.51</v>
      </c>
      <c r="F17" s="174">
        <v>0</v>
      </c>
      <c r="G17" s="139">
        <v>39.729999999999997</v>
      </c>
      <c r="H17" s="139">
        <v>147.60599999999994</v>
      </c>
      <c r="I17" s="139">
        <v>371.84000000000015</v>
      </c>
      <c r="J17" s="174">
        <v>0.8</v>
      </c>
      <c r="K17" s="139">
        <v>31.900000000000002</v>
      </c>
      <c r="L17" s="174">
        <v>0</v>
      </c>
      <c r="M17" s="139">
        <v>0</v>
      </c>
      <c r="N17" s="139">
        <v>372.64000000000016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582.9860000000001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210.81600000000009</v>
      </c>
      <c r="D18" s="139">
        <v>0</v>
      </c>
      <c r="E18" s="139">
        <v>0.26</v>
      </c>
      <c r="F18" s="139">
        <v>0</v>
      </c>
      <c r="G18" s="139">
        <v>0</v>
      </c>
      <c r="H18" s="139">
        <v>210.81600000000009</v>
      </c>
      <c r="I18" s="139">
        <v>350.63699999999994</v>
      </c>
      <c r="J18" s="139">
        <v>1.41</v>
      </c>
      <c r="K18" s="139">
        <v>5.8400000000000007</v>
      </c>
      <c r="L18" s="139">
        <v>0</v>
      </c>
      <c r="M18" s="139">
        <v>0</v>
      </c>
      <c r="N18" s="139">
        <v>352.04699999999997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571.23800000000006</v>
      </c>
    </row>
    <row r="19" spans="1:21" s="111" customFormat="1" ht="38.25" customHeight="1" x14ac:dyDescent="0.4">
      <c r="A19" s="308" t="s">
        <v>89</v>
      </c>
      <c r="B19" s="309"/>
      <c r="C19" s="141">
        <v>1339.1660000000004</v>
      </c>
      <c r="D19" s="141">
        <v>0.43</v>
      </c>
      <c r="E19" s="141">
        <v>5.31</v>
      </c>
      <c r="F19" s="141">
        <v>0</v>
      </c>
      <c r="G19" s="141">
        <v>84.889999999999986</v>
      </c>
      <c r="H19" s="141">
        <v>1339.5960000000002</v>
      </c>
      <c r="I19" s="141">
        <v>929.83300000000008</v>
      </c>
      <c r="J19" s="141">
        <v>31.25</v>
      </c>
      <c r="K19" s="141">
        <v>163.36500000000001</v>
      </c>
      <c r="L19" s="141">
        <v>0</v>
      </c>
      <c r="M19" s="141">
        <v>0</v>
      </c>
      <c r="N19" s="141">
        <v>961.08300000000008</v>
      </c>
      <c r="O19" s="141">
        <v>317.04700000000003</v>
      </c>
      <c r="P19" s="141">
        <v>0</v>
      </c>
      <c r="Q19" s="141">
        <v>0.06</v>
      </c>
      <c r="R19" s="141">
        <v>0</v>
      </c>
      <c r="S19" s="141">
        <v>1.665</v>
      </c>
      <c r="T19" s="141">
        <v>317.04700000000003</v>
      </c>
      <c r="U19" s="141">
        <v>2617.7260000000006</v>
      </c>
    </row>
    <row r="20" spans="1:21" ht="38.25" customHeight="1" x14ac:dyDescent="0.35">
      <c r="A20" s="171">
        <v>8</v>
      </c>
      <c r="B20" s="172" t="s">
        <v>91</v>
      </c>
      <c r="C20" s="139">
        <v>642.01999999999987</v>
      </c>
      <c r="D20" s="139">
        <v>0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394.6350000000001</v>
      </c>
      <c r="J20" s="139">
        <v>0.98</v>
      </c>
      <c r="K20" s="139">
        <v>5.6050000000000004</v>
      </c>
      <c r="L20" s="139">
        <v>0</v>
      </c>
      <c r="M20" s="139">
        <v>0</v>
      </c>
      <c r="N20" s="139">
        <v>395.61500000000012</v>
      </c>
      <c r="O20" s="139">
        <v>40.370000000000005</v>
      </c>
      <c r="P20" s="139">
        <v>0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1078.0050000000001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415.17699999999996</v>
      </c>
      <c r="J21" s="139">
        <v>0.08</v>
      </c>
      <c r="K21" s="139">
        <v>26.754000000000001</v>
      </c>
      <c r="L21" s="139">
        <v>0</v>
      </c>
      <c r="M21" s="139">
        <v>0</v>
      </c>
      <c r="N21" s="139">
        <v>415.25699999999995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445.37699999999995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440.70000000000005</v>
      </c>
      <c r="J22" s="139">
        <v>2.6</v>
      </c>
      <c r="K22" s="139">
        <v>109.345</v>
      </c>
      <c r="L22" s="139">
        <v>0</v>
      </c>
      <c r="M22" s="139">
        <v>19.510000000000002</v>
      </c>
      <c r="N22" s="139">
        <v>443.30000000000007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561.00000000000011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429.48499999999984</v>
      </c>
      <c r="D23" s="139">
        <v>0.56000000000000005</v>
      </c>
      <c r="E23" s="139">
        <v>7.75</v>
      </c>
      <c r="F23" s="139">
        <v>0</v>
      </c>
      <c r="G23" s="139">
        <v>0</v>
      </c>
      <c r="H23" s="139">
        <v>430.04499999999985</v>
      </c>
      <c r="I23" s="139">
        <v>82.444999999999993</v>
      </c>
      <c r="J23" s="139">
        <v>0.34</v>
      </c>
      <c r="K23" s="139">
        <v>5.9849999999999994</v>
      </c>
      <c r="L23" s="139">
        <v>0</v>
      </c>
      <c r="M23" s="139">
        <v>0</v>
      </c>
      <c r="N23" s="139">
        <v>82.784999999999997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532.06999999999982</v>
      </c>
    </row>
    <row r="24" spans="1:21" s="111" customFormat="1" ht="38.25" customHeight="1" x14ac:dyDescent="0.4">
      <c r="A24" s="313" t="s">
        <v>94</v>
      </c>
      <c r="B24" s="313"/>
      <c r="C24" s="141">
        <v>1199.1649999999997</v>
      </c>
      <c r="D24" s="141">
        <v>0.56000000000000005</v>
      </c>
      <c r="E24" s="141">
        <v>10.97</v>
      </c>
      <c r="F24" s="141">
        <v>0</v>
      </c>
      <c r="G24" s="141">
        <v>72.819999999999993</v>
      </c>
      <c r="H24" s="141">
        <v>1199.7249999999997</v>
      </c>
      <c r="I24" s="141">
        <v>1332.9570000000001</v>
      </c>
      <c r="J24" s="141">
        <v>4</v>
      </c>
      <c r="K24" s="141">
        <v>147.68900000000002</v>
      </c>
      <c r="L24" s="141">
        <v>0</v>
      </c>
      <c r="M24" s="141">
        <v>19.510000000000002</v>
      </c>
      <c r="N24" s="141">
        <v>1336.9570000000001</v>
      </c>
      <c r="O24" s="141">
        <v>79.77000000000001</v>
      </c>
      <c r="P24" s="141">
        <v>0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2616.4519999999998</v>
      </c>
    </row>
    <row r="25" spans="1:21" s="145" customFormat="1" ht="38.25" customHeight="1" x14ac:dyDescent="0.4">
      <c r="A25" s="308" t="s">
        <v>95</v>
      </c>
      <c r="B25" s="309"/>
      <c r="C25" s="141">
        <v>5439.1979999999994</v>
      </c>
      <c r="D25" s="141">
        <v>0.99</v>
      </c>
      <c r="E25" s="141">
        <v>16.43</v>
      </c>
      <c r="F25" s="141">
        <v>0</v>
      </c>
      <c r="G25" s="141">
        <v>189.75799999999998</v>
      </c>
      <c r="H25" s="141">
        <v>5440.1879999999992</v>
      </c>
      <c r="I25" s="141">
        <v>6161.99</v>
      </c>
      <c r="J25" s="141">
        <v>41.438000000000002</v>
      </c>
      <c r="K25" s="141">
        <v>499.24400000000003</v>
      </c>
      <c r="L25" s="141">
        <v>0</v>
      </c>
      <c r="M25" s="141">
        <v>19.510000000000002</v>
      </c>
      <c r="N25" s="141">
        <v>6203.4280000000008</v>
      </c>
      <c r="O25" s="141">
        <v>634.65699999999993</v>
      </c>
      <c r="P25" s="141">
        <v>0</v>
      </c>
      <c r="Q25" s="141">
        <v>2.09</v>
      </c>
      <c r="R25" s="141">
        <v>0</v>
      </c>
      <c r="S25" s="141">
        <v>19.554999999999996</v>
      </c>
      <c r="T25" s="141">
        <v>634.65699999999993</v>
      </c>
      <c r="U25" s="141">
        <v>12278.272999999999</v>
      </c>
    </row>
    <row r="26" spans="1:21" ht="38.25" customHeight="1" x14ac:dyDescent="0.35">
      <c r="A26" s="171">
        <v>15</v>
      </c>
      <c r="B26" s="172" t="s">
        <v>96</v>
      </c>
      <c r="C26" s="139">
        <v>7456.8669999999993</v>
      </c>
      <c r="D26" s="139">
        <v>6.82</v>
      </c>
      <c r="E26" s="139">
        <v>63.04</v>
      </c>
      <c r="F26" s="139">
        <v>0</v>
      </c>
      <c r="G26" s="139">
        <v>0</v>
      </c>
      <c r="H26" s="139">
        <v>7463.686999999999</v>
      </c>
      <c r="I26" s="139">
        <v>59.430000000000007</v>
      </c>
      <c r="J26" s="139">
        <v>0.04</v>
      </c>
      <c r="K26" s="139">
        <v>0.42</v>
      </c>
      <c r="L26" s="139">
        <v>0</v>
      </c>
      <c r="M26" s="139">
        <v>0</v>
      </c>
      <c r="N26" s="139">
        <v>59.470000000000006</v>
      </c>
      <c r="O26" s="139">
        <v>3.64</v>
      </c>
      <c r="P26" s="139">
        <v>0</v>
      </c>
      <c r="Q26" s="139">
        <v>2.62</v>
      </c>
      <c r="R26" s="139">
        <v>0</v>
      </c>
      <c r="S26" s="139">
        <v>0</v>
      </c>
      <c r="T26" s="139">
        <v>3.64</v>
      </c>
      <c r="U26" s="139">
        <v>7526.7969999999996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5520.3950000000013</v>
      </c>
      <c r="D27" s="139">
        <v>15.5</v>
      </c>
      <c r="E27" s="139">
        <v>67.39500000000001</v>
      </c>
      <c r="F27" s="139">
        <v>0</v>
      </c>
      <c r="G27" s="139">
        <v>0</v>
      </c>
      <c r="H27" s="139">
        <v>5535.8950000000013</v>
      </c>
      <c r="I27" s="139">
        <v>563.32799999999997</v>
      </c>
      <c r="J27" s="139">
        <v>6.07</v>
      </c>
      <c r="K27" s="139">
        <v>13.399999999999999</v>
      </c>
      <c r="L27" s="139">
        <v>0</v>
      </c>
      <c r="M27" s="139">
        <v>0</v>
      </c>
      <c r="N27" s="139">
        <v>569.39800000000002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6122.2130000000016</v>
      </c>
    </row>
    <row r="28" spans="1:21" s="111" customFormat="1" ht="38.25" customHeight="1" x14ac:dyDescent="0.4">
      <c r="A28" s="313" t="s">
        <v>98</v>
      </c>
      <c r="B28" s="313"/>
      <c r="C28" s="141">
        <v>12977.262000000001</v>
      </c>
      <c r="D28" s="141">
        <v>22.32</v>
      </c>
      <c r="E28" s="141">
        <v>130.435</v>
      </c>
      <c r="F28" s="141">
        <v>0</v>
      </c>
      <c r="G28" s="141">
        <v>0</v>
      </c>
      <c r="H28" s="141">
        <v>12999.582</v>
      </c>
      <c r="I28" s="141">
        <v>622.75800000000004</v>
      </c>
      <c r="J28" s="141">
        <v>6.11</v>
      </c>
      <c r="K28" s="141">
        <v>13.819999999999999</v>
      </c>
      <c r="L28" s="141">
        <v>0</v>
      </c>
      <c r="M28" s="141">
        <v>0</v>
      </c>
      <c r="N28" s="141">
        <v>628.86800000000005</v>
      </c>
      <c r="O28" s="141">
        <v>20.560000000000002</v>
      </c>
      <c r="P28" s="141">
        <v>0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13649.010000000002</v>
      </c>
    </row>
    <row r="29" spans="1:21" ht="38.25" customHeight="1" x14ac:dyDescent="0.35">
      <c r="A29" s="171">
        <v>17</v>
      </c>
      <c r="B29" s="172" t="s">
        <v>99</v>
      </c>
      <c r="C29" s="139">
        <v>4410.0280000000002</v>
      </c>
      <c r="D29" s="139">
        <v>4.41</v>
      </c>
      <c r="E29" s="139">
        <v>31.361000000000004</v>
      </c>
      <c r="F29" s="139">
        <v>0</v>
      </c>
      <c r="G29" s="139">
        <v>0</v>
      </c>
      <c r="H29" s="139">
        <v>4414.4380000000001</v>
      </c>
      <c r="I29" s="139">
        <v>120.91</v>
      </c>
      <c r="J29" s="139">
        <v>0</v>
      </c>
      <c r="K29" s="139">
        <v>24.25</v>
      </c>
      <c r="L29" s="139">
        <v>0</v>
      </c>
      <c r="M29" s="139">
        <v>0</v>
      </c>
      <c r="N29" s="139">
        <v>120.91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4593.0680000000002</v>
      </c>
    </row>
    <row r="30" spans="1:21" ht="38.25" customHeight="1" x14ac:dyDescent="0.35">
      <c r="A30" s="171">
        <v>18</v>
      </c>
      <c r="B30" s="172" t="s">
        <v>100</v>
      </c>
      <c r="C30" s="139">
        <v>437.65099999999995</v>
      </c>
      <c r="D30" s="139">
        <v>21.28</v>
      </c>
      <c r="E30" s="139">
        <v>56.018999999999998</v>
      </c>
      <c r="F30" s="139">
        <v>0</v>
      </c>
      <c r="G30" s="139">
        <v>0</v>
      </c>
      <c r="H30" s="139">
        <v>458.93099999999993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480.47799999999995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4240.6909999999998</v>
      </c>
      <c r="D31" s="139">
        <v>1.38</v>
      </c>
      <c r="E31" s="139">
        <v>18.52</v>
      </c>
      <c r="F31" s="139">
        <v>0</v>
      </c>
      <c r="G31" s="139">
        <v>0</v>
      </c>
      <c r="H31" s="139">
        <v>4242.0709999999999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4501.0110000000004</v>
      </c>
    </row>
    <row r="32" spans="1:21" ht="38.25" customHeight="1" x14ac:dyDescent="0.35">
      <c r="A32" s="171">
        <v>20</v>
      </c>
      <c r="B32" s="172" t="s">
        <v>102</v>
      </c>
      <c r="C32" s="139">
        <v>2593.7957999999999</v>
      </c>
      <c r="D32" s="139">
        <v>2.27</v>
      </c>
      <c r="E32" s="139">
        <v>18.750000000000004</v>
      </c>
      <c r="F32" s="139">
        <v>0</v>
      </c>
      <c r="G32" s="139">
        <v>0</v>
      </c>
      <c r="H32" s="139">
        <v>2596.0657999999999</v>
      </c>
      <c r="I32" s="139">
        <v>186.84600000000006</v>
      </c>
      <c r="J32" s="139">
        <v>0.42</v>
      </c>
      <c r="K32" s="139">
        <v>5.2050000000000001</v>
      </c>
      <c r="L32" s="139">
        <v>0</v>
      </c>
      <c r="M32" s="139">
        <v>0</v>
      </c>
      <c r="N32" s="139">
        <v>187.26600000000005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2804.1237999999998</v>
      </c>
    </row>
    <row r="33" spans="1:21" s="111" customFormat="1" ht="38.25" customHeight="1" x14ac:dyDescent="0.4">
      <c r="A33" s="313" t="s">
        <v>99</v>
      </c>
      <c r="B33" s="313"/>
      <c r="C33" s="141">
        <v>11682.165799999999</v>
      </c>
      <c r="D33" s="141">
        <v>29.34</v>
      </c>
      <c r="E33" s="141">
        <v>124.64999999999999</v>
      </c>
      <c r="F33" s="141">
        <v>0</v>
      </c>
      <c r="G33" s="141">
        <v>0</v>
      </c>
      <c r="H33" s="141">
        <v>11711.505799999999</v>
      </c>
      <c r="I33" s="141">
        <v>429.84300000000007</v>
      </c>
      <c r="J33" s="141">
        <v>0.42</v>
      </c>
      <c r="K33" s="141">
        <v>29.734999999999999</v>
      </c>
      <c r="L33" s="141">
        <v>0</v>
      </c>
      <c r="M33" s="141">
        <v>0</v>
      </c>
      <c r="N33" s="141">
        <v>430.26300000000003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12378.6808</v>
      </c>
    </row>
    <row r="34" spans="1:21" ht="38.25" customHeight="1" x14ac:dyDescent="0.35">
      <c r="A34" s="171">
        <v>21</v>
      </c>
      <c r="B34" s="172" t="s">
        <v>103</v>
      </c>
      <c r="C34" s="139">
        <v>4394.3300000000008</v>
      </c>
      <c r="D34" s="139">
        <v>15.34</v>
      </c>
      <c r="E34" s="139">
        <v>37.379999999999995</v>
      </c>
      <c r="F34" s="139">
        <v>0</v>
      </c>
      <c r="G34" s="139">
        <v>0</v>
      </c>
      <c r="H34" s="139">
        <v>4409.670000000001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4419.0700000000006</v>
      </c>
    </row>
    <row r="35" spans="1:21" ht="38.25" customHeight="1" x14ac:dyDescent="0.35">
      <c r="A35" s="171">
        <v>22</v>
      </c>
      <c r="B35" s="172" t="s">
        <v>104</v>
      </c>
      <c r="C35" s="139">
        <v>5985.8099999999986</v>
      </c>
      <c r="D35" s="139">
        <v>8.19</v>
      </c>
      <c r="E35" s="139">
        <v>107.38</v>
      </c>
      <c r="F35" s="139">
        <v>0</v>
      </c>
      <c r="G35" s="139">
        <v>0</v>
      </c>
      <c r="H35" s="139">
        <v>5993.9999999999982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5998.0299999999979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4756.0599999999977</v>
      </c>
      <c r="D37" s="139">
        <v>1.48</v>
      </c>
      <c r="E37" s="139">
        <v>56.099999999999994</v>
      </c>
      <c r="F37" s="139">
        <v>0</v>
      </c>
      <c r="G37" s="139">
        <v>0</v>
      </c>
      <c r="H37" s="139">
        <v>4757.5399999999972</v>
      </c>
      <c r="I37" s="139">
        <v>19.350000000000001</v>
      </c>
      <c r="J37" s="139">
        <v>0</v>
      </c>
      <c r="K37" s="139">
        <v>12.43</v>
      </c>
      <c r="L37" s="139">
        <v>0</v>
      </c>
      <c r="M37" s="139">
        <v>0</v>
      </c>
      <c r="N37" s="139">
        <v>19.350000000000001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4777.9299999999976</v>
      </c>
    </row>
    <row r="38" spans="1:21" s="111" customFormat="1" ht="38.25" customHeight="1" x14ac:dyDescent="0.4">
      <c r="A38" s="313" t="s">
        <v>107</v>
      </c>
      <c r="B38" s="313"/>
      <c r="C38" s="141">
        <v>18098.219999999998</v>
      </c>
      <c r="D38" s="141">
        <v>25.01</v>
      </c>
      <c r="E38" s="141">
        <v>227.70999999999998</v>
      </c>
      <c r="F38" s="141">
        <v>0</v>
      </c>
      <c r="G38" s="141">
        <v>0</v>
      </c>
      <c r="H38" s="141">
        <v>18123.229999999996</v>
      </c>
      <c r="I38" s="141">
        <v>188.40000000000003</v>
      </c>
      <c r="J38" s="141">
        <v>0</v>
      </c>
      <c r="K38" s="141">
        <v>12.43</v>
      </c>
      <c r="L38" s="141">
        <v>0</v>
      </c>
      <c r="M38" s="141">
        <v>0</v>
      </c>
      <c r="N38" s="141">
        <v>188.40000000000003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18314.899999999994</v>
      </c>
    </row>
    <row r="39" spans="1:21" s="145" customFormat="1" ht="38.25" customHeight="1" x14ac:dyDescent="0.4">
      <c r="A39" s="313" t="s">
        <v>108</v>
      </c>
      <c r="B39" s="313"/>
      <c r="C39" s="141">
        <v>42757.647799999999</v>
      </c>
      <c r="D39" s="141">
        <v>76.67</v>
      </c>
      <c r="E39" s="141">
        <v>482.79499999999996</v>
      </c>
      <c r="F39" s="141">
        <v>0</v>
      </c>
      <c r="G39" s="141">
        <v>0</v>
      </c>
      <c r="H39" s="141">
        <v>42834.317799999997</v>
      </c>
      <c r="I39" s="141">
        <v>1241.0010000000002</v>
      </c>
      <c r="J39" s="141">
        <v>6.53</v>
      </c>
      <c r="K39" s="141">
        <v>55.984999999999999</v>
      </c>
      <c r="L39" s="141">
        <v>0</v>
      </c>
      <c r="M39" s="141">
        <v>0</v>
      </c>
      <c r="N39" s="141">
        <v>1247.5309999999999</v>
      </c>
      <c r="O39" s="141">
        <v>260.74200000000002</v>
      </c>
      <c r="P39" s="141">
        <v>0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44342.590799999998</v>
      </c>
    </row>
    <row r="40" spans="1:21" ht="38.25" customHeight="1" x14ac:dyDescent="0.35">
      <c r="A40" s="171">
        <v>25</v>
      </c>
      <c r="B40" s="172" t="s">
        <v>109</v>
      </c>
      <c r="C40" s="139">
        <v>11137.143999999998</v>
      </c>
      <c r="D40" s="139">
        <v>11.09</v>
      </c>
      <c r="E40" s="139">
        <v>153.374</v>
      </c>
      <c r="F40" s="139">
        <v>0</v>
      </c>
      <c r="G40" s="139">
        <v>0</v>
      </c>
      <c r="H40" s="139">
        <v>11148.233999999999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11148.233999999999</v>
      </c>
    </row>
    <row r="41" spans="1:21" ht="38.25" customHeight="1" x14ac:dyDescent="0.35">
      <c r="A41" s="171">
        <v>26</v>
      </c>
      <c r="B41" s="172" t="s">
        <v>110</v>
      </c>
      <c r="C41" s="139">
        <v>7245.778999999995</v>
      </c>
      <c r="D41" s="139">
        <v>94.22</v>
      </c>
      <c r="E41" s="139">
        <v>268.31299999999999</v>
      </c>
      <c r="F41" s="139">
        <v>0</v>
      </c>
      <c r="G41" s="139">
        <v>0</v>
      </c>
      <c r="H41" s="139">
        <v>7339.9989999999952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7339.9989999999952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13653.208999999997</v>
      </c>
      <c r="D42" s="139">
        <v>5.69</v>
      </c>
      <c r="E42" s="139">
        <v>144.78299999999999</v>
      </c>
      <c r="F42" s="139">
        <v>0</v>
      </c>
      <c r="G42" s="139">
        <v>0</v>
      </c>
      <c r="H42" s="139">
        <v>13658.898999999998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5.67</v>
      </c>
      <c r="P42" s="139">
        <v>0</v>
      </c>
      <c r="Q42" s="139">
        <v>5.67</v>
      </c>
      <c r="R42" s="139">
        <v>0</v>
      </c>
      <c r="S42" s="139">
        <v>0</v>
      </c>
      <c r="T42" s="139">
        <v>5.67</v>
      </c>
      <c r="U42" s="139">
        <v>13664.568999999998</v>
      </c>
    </row>
    <row r="43" spans="1:21" ht="38.25" customHeight="1" x14ac:dyDescent="0.35">
      <c r="A43" s="171">
        <v>28</v>
      </c>
      <c r="B43" s="172" t="s">
        <v>112</v>
      </c>
      <c r="C43" s="139">
        <v>1041.5000000000005</v>
      </c>
      <c r="D43" s="139">
        <v>4</v>
      </c>
      <c r="E43" s="139">
        <v>73.921999999999997</v>
      </c>
      <c r="F43" s="139">
        <v>0</v>
      </c>
      <c r="G43" s="139">
        <v>0</v>
      </c>
      <c r="H43" s="139">
        <v>1045.5000000000005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1045.5000000000005</v>
      </c>
    </row>
    <row r="44" spans="1:21" s="111" customFormat="1" ht="38.25" customHeight="1" x14ac:dyDescent="0.4">
      <c r="A44" s="313" t="s">
        <v>109</v>
      </c>
      <c r="B44" s="313"/>
      <c r="C44" s="141">
        <v>33077.631999999991</v>
      </c>
      <c r="D44" s="141">
        <v>115</v>
      </c>
      <c r="E44" s="141">
        <v>640.39200000000005</v>
      </c>
      <c r="F44" s="141">
        <v>0</v>
      </c>
      <c r="G44" s="141">
        <v>0</v>
      </c>
      <c r="H44" s="141">
        <v>33192.631999999991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5.67</v>
      </c>
      <c r="P44" s="141">
        <v>0</v>
      </c>
      <c r="Q44" s="141">
        <v>5.67</v>
      </c>
      <c r="R44" s="141">
        <v>0</v>
      </c>
      <c r="S44" s="141">
        <v>0</v>
      </c>
      <c r="T44" s="141">
        <v>5.67</v>
      </c>
      <c r="U44" s="141">
        <v>33198.301999999989</v>
      </c>
    </row>
    <row r="45" spans="1:21" ht="38.25" customHeight="1" x14ac:dyDescent="0.35">
      <c r="A45" s="171">
        <v>29</v>
      </c>
      <c r="B45" s="172" t="s">
        <v>113</v>
      </c>
      <c r="C45" s="139">
        <v>8095.9621000000006</v>
      </c>
      <c r="D45" s="139">
        <v>154.84</v>
      </c>
      <c r="E45" s="139">
        <v>202.36</v>
      </c>
      <c r="F45" s="139">
        <v>0</v>
      </c>
      <c r="G45" s="139">
        <v>0</v>
      </c>
      <c r="H45" s="139">
        <v>8250.8021000000008</v>
      </c>
      <c r="I45" s="139">
        <v>1.0400000000000003</v>
      </c>
      <c r="J45" s="139">
        <v>0.22</v>
      </c>
      <c r="K45" s="139">
        <v>0.4</v>
      </c>
      <c r="L45" s="139">
        <v>0</v>
      </c>
      <c r="M45" s="139">
        <v>0</v>
      </c>
      <c r="N45" s="139">
        <v>1.2600000000000002</v>
      </c>
      <c r="O45" s="139">
        <v>14.75</v>
      </c>
      <c r="P45" s="139">
        <v>0</v>
      </c>
      <c r="Q45" s="139">
        <v>0.32</v>
      </c>
      <c r="R45" s="139">
        <v>0</v>
      </c>
      <c r="S45" s="139">
        <v>0</v>
      </c>
      <c r="T45" s="139">
        <v>14.75</v>
      </c>
      <c r="U45" s="139">
        <v>8266.812100000001</v>
      </c>
    </row>
    <row r="46" spans="1:21" ht="38.25" customHeight="1" x14ac:dyDescent="0.35">
      <c r="A46" s="171">
        <v>30</v>
      </c>
      <c r="B46" s="172" t="s">
        <v>114</v>
      </c>
      <c r="C46" s="139">
        <v>7769.6750000000011</v>
      </c>
      <c r="D46" s="139">
        <v>4.63</v>
      </c>
      <c r="E46" s="139">
        <v>107.17999999999999</v>
      </c>
      <c r="F46" s="139">
        <v>0</v>
      </c>
      <c r="G46" s="139">
        <v>0</v>
      </c>
      <c r="H46" s="139">
        <v>7774.3050000000012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7775.2650000000012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8474.4000000000015</v>
      </c>
      <c r="D47" s="139">
        <v>64.89</v>
      </c>
      <c r="E47" s="139">
        <v>140.86000000000001</v>
      </c>
      <c r="F47" s="139">
        <v>0</v>
      </c>
      <c r="G47" s="139">
        <v>0</v>
      </c>
      <c r="H47" s="139">
        <v>8539.2900000000009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8546.2100000000009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7812.509</v>
      </c>
      <c r="D48" s="139">
        <v>12.87</v>
      </c>
      <c r="E48" s="139">
        <v>323.34899999999999</v>
      </c>
      <c r="F48" s="139">
        <v>0</v>
      </c>
      <c r="G48" s="139">
        <v>0</v>
      </c>
      <c r="H48" s="139">
        <v>7825.3789999999999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7825.884</v>
      </c>
    </row>
    <row r="49" spans="1:21" s="111" customFormat="1" ht="38.25" customHeight="1" x14ac:dyDescent="0.4">
      <c r="A49" s="313" t="s">
        <v>117</v>
      </c>
      <c r="B49" s="313"/>
      <c r="C49" s="141">
        <v>32152.5461</v>
      </c>
      <c r="D49" s="141">
        <v>237.23000000000002</v>
      </c>
      <c r="E49" s="141">
        <v>773.74900000000002</v>
      </c>
      <c r="F49" s="141">
        <v>0</v>
      </c>
      <c r="G49" s="141">
        <v>0</v>
      </c>
      <c r="H49" s="141">
        <v>32389.776100000003</v>
      </c>
      <c r="I49" s="141">
        <v>9.3950000000000014</v>
      </c>
      <c r="J49" s="141">
        <v>0.22</v>
      </c>
      <c r="K49" s="141">
        <v>0.4</v>
      </c>
      <c r="L49" s="141">
        <v>0</v>
      </c>
      <c r="M49" s="141">
        <v>0</v>
      </c>
      <c r="N49" s="141">
        <v>9.6150000000000002</v>
      </c>
      <c r="O49" s="141">
        <v>14.78</v>
      </c>
      <c r="P49" s="141">
        <v>0</v>
      </c>
      <c r="Q49" s="141">
        <v>0.32</v>
      </c>
      <c r="R49" s="141">
        <v>0</v>
      </c>
      <c r="S49" s="141">
        <v>0</v>
      </c>
      <c r="T49" s="141">
        <v>14.78</v>
      </c>
      <c r="U49" s="141">
        <v>32414.1711</v>
      </c>
    </row>
    <row r="50" spans="1:21" s="145" customFormat="1" ht="38.25" customHeight="1" x14ac:dyDescent="0.4">
      <c r="A50" s="313" t="s">
        <v>118</v>
      </c>
      <c r="B50" s="313"/>
      <c r="C50" s="141">
        <v>65230.17809999999</v>
      </c>
      <c r="D50" s="141">
        <v>352.23</v>
      </c>
      <c r="E50" s="141">
        <v>1414.1410000000001</v>
      </c>
      <c r="F50" s="141">
        <v>0</v>
      </c>
      <c r="G50" s="141">
        <v>0</v>
      </c>
      <c r="H50" s="141">
        <v>65582.408100000001</v>
      </c>
      <c r="I50" s="141">
        <v>9.3950000000000014</v>
      </c>
      <c r="J50" s="141">
        <v>0.22</v>
      </c>
      <c r="K50" s="141">
        <v>0.4</v>
      </c>
      <c r="L50" s="141">
        <v>0</v>
      </c>
      <c r="M50" s="141">
        <v>0</v>
      </c>
      <c r="N50" s="141">
        <v>9.6150000000000002</v>
      </c>
      <c r="O50" s="141">
        <v>20.45</v>
      </c>
      <c r="P50" s="141">
        <v>0</v>
      </c>
      <c r="Q50" s="141">
        <v>5.99</v>
      </c>
      <c r="R50" s="141">
        <v>0</v>
      </c>
      <c r="S50" s="141">
        <v>0</v>
      </c>
      <c r="T50" s="141">
        <v>20.45</v>
      </c>
      <c r="U50" s="141">
        <v>65612.473099999988</v>
      </c>
    </row>
    <row r="51" spans="1:21" s="146" customFormat="1" ht="38.25" customHeight="1" x14ac:dyDescent="0.4">
      <c r="A51" s="313" t="s">
        <v>119</v>
      </c>
      <c r="B51" s="313"/>
      <c r="C51" s="141">
        <v>113427.0239</v>
      </c>
      <c r="D51" s="141">
        <v>429.89000000000004</v>
      </c>
      <c r="E51" s="141">
        <v>1913.3660000000002</v>
      </c>
      <c r="F51" s="141">
        <v>0</v>
      </c>
      <c r="G51" s="141">
        <v>189.75799999999998</v>
      </c>
      <c r="H51" s="141">
        <v>113856.91389999999</v>
      </c>
      <c r="I51" s="141">
        <v>7412.3860000000004</v>
      </c>
      <c r="J51" s="141">
        <v>48.188000000000002</v>
      </c>
      <c r="K51" s="141">
        <v>555.62900000000002</v>
      </c>
      <c r="L51" s="141">
        <v>0</v>
      </c>
      <c r="M51" s="141">
        <v>19.510000000000002</v>
      </c>
      <c r="N51" s="141">
        <v>7460.5740000000005</v>
      </c>
      <c r="O51" s="141">
        <v>915.84899999999993</v>
      </c>
      <c r="P51" s="141">
        <v>0</v>
      </c>
      <c r="Q51" s="141">
        <v>10.707000000000001</v>
      </c>
      <c r="R51" s="141">
        <v>0</v>
      </c>
      <c r="S51" s="141">
        <v>19.554999999999996</v>
      </c>
      <c r="T51" s="141">
        <v>915.84899999999993</v>
      </c>
      <c r="U51" s="141">
        <v>122233.33689999998</v>
      </c>
    </row>
    <row r="52" spans="1:21" s="111" customFormat="1" ht="24" customHeight="1" x14ac:dyDescent="0.4">
      <c r="A52" s="115"/>
      <c r="B52" s="11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</row>
    <row r="53" spans="1:21" s="111" customFormat="1" ht="19.5" customHeight="1" x14ac:dyDescent="0.4">
      <c r="A53" s="115"/>
      <c r="B53" s="11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</row>
    <row r="54" spans="1:21" s="115" customFormat="1" ht="24.75" hidden="1" customHeight="1" x14ac:dyDescent="0.4">
      <c r="B54" s="206"/>
      <c r="C54" s="278" t="s">
        <v>54</v>
      </c>
      <c r="D54" s="278"/>
      <c r="E54" s="278"/>
      <c r="F54" s="278"/>
      <c r="G54" s="278"/>
      <c r="H54" s="118"/>
      <c r="I54" s="206"/>
      <c r="J54" s="206">
        <f>D51+J51+P51-F51-L51-R51</f>
        <v>478.07800000000003</v>
      </c>
      <c r="K54" s="206"/>
      <c r="L54" s="206"/>
      <c r="M54" s="206"/>
      <c r="N54" s="206"/>
      <c r="R54" s="206"/>
      <c r="U54" s="206"/>
    </row>
    <row r="55" spans="1:21" s="115" customFormat="1" ht="30" hidden="1" customHeight="1" x14ac:dyDescent="0.35">
      <c r="B55" s="206"/>
      <c r="C55" s="278" t="s">
        <v>55</v>
      </c>
      <c r="D55" s="278"/>
      <c r="E55" s="278"/>
      <c r="F55" s="278"/>
      <c r="G55" s="278"/>
      <c r="H55" s="119"/>
      <c r="I55" s="206"/>
      <c r="J55" s="206">
        <f>E51+K51+Q51-G51-M51-S51</f>
        <v>2250.8790000000004</v>
      </c>
      <c r="K55" s="206"/>
      <c r="L55" s="206"/>
      <c r="M55" s="206"/>
      <c r="N55" s="206"/>
      <c r="R55" s="206"/>
      <c r="T55" s="206"/>
    </row>
    <row r="56" spans="1:21" ht="33" hidden="1" customHeight="1" x14ac:dyDescent="0.5">
      <c r="C56" s="278" t="s">
        <v>56</v>
      </c>
      <c r="D56" s="278"/>
      <c r="E56" s="278"/>
      <c r="F56" s="278"/>
      <c r="G56" s="278"/>
      <c r="H56" s="119"/>
      <c r="I56" s="121"/>
      <c r="J56" s="206">
        <f>H51+N51+T51</f>
        <v>122233.33689999998</v>
      </c>
      <c r="K56" s="119"/>
      <c r="L56" s="119"/>
      <c r="M56" s="142" t="e">
        <f>#REF!+'Oct-2021'!J54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06"/>
      <c r="E57" s="206"/>
      <c r="F57" s="206"/>
      <c r="G57" s="206"/>
      <c r="H57" s="119"/>
      <c r="I57" s="121"/>
      <c r="J57" s="206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06"/>
      <c r="E58" s="206"/>
      <c r="F58" s="206"/>
      <c r="G58" s="206"/>
      <c r="H58" s="119"/>
      <c r="I58" s="121"/>
      <c r="J58" s="206"/>
      <c r="K58" s="119"/>
      <c r="L58" s="119"/>
      <c r="M58" s="142" t="e">
        <f>#REF!+'Oct-2021'!J54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87" t="s">
        <v>57</v>
      </c>
      <c r="C59" s="287"/>
      <c r="D59" s="287"/>
      <c r="E59" s="287"/>
      <c r="F59" s="287"/>
      <c r="G59" s="153"/>
      <c r="H59" s="154"/>
      <c r="I59" s="155"/>
      <c r="J59" s="288"/>
      <c r="K59" s="286"/>
      <c r="L59" s="286"/>
      <c r="M59" s="169" t="e">
        <f>#REF!+'Oct-2021'!J54</f>
        <v>#REF!</v>
      </c>
      <c r="N59" s="154"/>
      <c r="O59" s="154"/>
      <c r="P59" s="207"/>
      <c r="Q59" s="287" t="s">
        <v>58</v>
      </c>
      <c r="R59" s="287"/>
      <c r="S59" s="287"/>
      <c r="T59" s="287"/>
      <c r="U59" s="287"/>
    </row>
    <row r="60" spans="1:21" s="152" customFormat="1" ht="37.5" hidden="1" customHeight="1" x14ac:dyDescent="0.45">
      <c r="B60" s="287" t="s">
        <v>59</v>
      </c>
      <c r="C60" s="287"/>
      <c r="D60" s="287"/>
      <c r="E60" s="287"/>
      <c r="F60" s="287"/>
      <c r="G60" s="154"/>
      <c r="H60" s="153"/>
      <c r="I60" s="156"/>
      <c r="J60" s="157"/>
      <c r="K60" s="208"/>
      <c r="L60" s="157"/>
      <c r="M60" s="154"/>
      <c r="N60" s="153"/>
      <c r="O60" s="154"/>
      <c r="P60" s="207"/>
      <c r="Q60" s="287" t="s">
        <v>59</v>
      </c>
      <c r="R60" s="287"/>
      <c r="S60" s="287"/>
      <c r="T60" s="287"/>
      <c r="U60" s="287"/>
    </row>
    <row r="61" spans="1:21" s="152" customFormat="1" ht="37.5" hidden="1" customHeight="1" x14ac:dyDescent="0.45">
      <c r="I61" s="158"/>
      <c r="J61" s="286" t="s">
        <v>61</v>
      </c>
      <c r="K61" s="286"/>
      <c r="L61" s="286"/>
      <c r="M61" s="159" t="e">
        <f>#REF!+'Oct-2021'!J54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#REF!+'Oct-2021'!J54</f>
        <v>#REF!</v>
      </c>
      <c r="I62" s="158"/>
      <c r="J62" s="286" t="s">
        <v>62</v>
      </c>
      <c r="K62" s="286"/>
      <c r="L62" s="286"/>
      <c r="M62" s="159" t="e">
        <f>#REF!+'Oct-2021'!J54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topLeftCell="H1" zoomScale="48" zoomScaleNormal="48" workbookViewId="0">
      <pane ySplit="6" topLeftCell="A41" activePane="bottomLeft" state="frozen"/>
      <selection pane="bottomLeft" activeCell="C7" sqref="C7:U50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140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02" t="s">
        <v>122</v>
      </c>
      <c r="B4" s="305" t="s">
        <v>121</v>
      </c>
      <c r="C4" s="281" t="s">
        <v>131</v>
      </c>
      <c r="D4" s="282"/>
      <c r="E4" s="282"/>
      <c r="F4" s="282"/>
      <c r="G4" s="282"/>
      <c r="H4" s="282"/>
      <c r="I4" s="281" t="s">
        <v>130</v>
      </c>
      <c r="J4" s="282"/>
      <c r="K4" s="282"/>
      <c r="L4" s="282"/>
      <c r="M4" s="282"/>
      <c r="N4" s="282"/>
      <c r="O4" s="281" t="s">
        <v>129</v>
      </c>
      <c r="P4" s="282"/>
      <c r="Q4" s="282"/>
      <c r="R4" s="282"/>
      <c r="S4" s="282"/>
      <c r="T4" s="282"/>
      <c r="U4" s="210"/>
    </row>
    <row r="5" spans="1:21" s="108" customFormat="1" ht="54.75" customHeight="1" x14ac:dyDescent="0.25">
      <c r="A5" s="304"/>
      <c r="B5" s="306"/>
      <c r="C5" s="291" t="s">
        <v>6</v>
      </c>
      <c r="D5" s="289" t="s">
        <v>127</v>
      </c>
      <c r="E5" s="290"/>
      <c r="F5" s="289" t="s">
        <v>126</v>
      </c>
      <c r="G5" s="290"/>
      <c r="H5" s="291" t="s">
        <v>9</v>
      </c>
      <c r="I5" s="291" t="s">
        <v>6</v>
      </c>
      <c r="J5" s="289" t="s">
        <v>127</v>
      </c>
      <c r="K5" s="290"/>
      <c r="L5" s="289" t="s">
        <v>126</v>
      </c>
      <c r="M5" s="290"/>
      <c r="N5" s="291" t="s">
        <v>9</v>
      </c>
      <c r="O5" s="291" t="s">
        <v>6</v>
      </c>
      <c r="P5" s="289" t="s">
        <v>127</v>
      </c>
      <c r="Q5" s="290"/>
      <c r="R5" s="289" t="s">
        <v>126</v>
      </c>
      <c r="S5" s="290"/>
      <c r="T5" s="291" t="s">
        <v>9</v>
      </c>
      <c r="U5" s="305" t="s">
        <v>128</v>
      </c>
    </row>
    <row r="6" spans="1:21" s="108" customFormat="1" ht="38.25" customHeight="1" x14ac:dyDescent="0.25">
      <c r="A6" s="304"/>
      <c r="B6" s="307"/>
      <c r="C6" s="292"/>
      <c r="D6" s="172" t="s">
        <v>124</v>
      </c>
      <c r="E6" s="172" t="s">
        <v>125</v>
      </c>
      <c r="F6" s="172" t="s">
        <v>124</v>
      </c>
      <c r="G6" s="172" t="s">
        <v>125</v>
      </c>
      <c r="H6" s="292"/>
      <c r="I6" s="292"/>
      <c r="J6" s="172" t="s">
        <v>124</v>
      </c>
      <c r="K6" s="172" t="s">
        <v>125</v>
      </c>
      <c r="L6" s="172" t="s">
        <v>124</v>
      </c>
      <c r="M6" s="172" t="s">
        <v>125</v>
      </c>
      <c r="N6" s="292"/>
      <c r="O6" s="292"/>
      <c r="P6" s="172" t="s">
        <v>124</v>
      </c>
      <c r="Q6" s="172" t="s">
        <v>125</v>
      </c>
      <c r="R6" s="172" t="s">
        <v>124</v>
      </c>
      <c r="S6" s="172" t="s">
        <v>125</v>
      </c>
      <c r="T6" s="292"/>
      <c r="U6" s="307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589.67799999999988</v>
      </c>
      <c r="J7" s="139">
        <v>1.9</v>
      </c>
      <c r="K7" s="139">
        <v>40.523000000000003</v>
      </c>
      <c r="L7" s="139">
        <v>0</v>
      </c>
      <c r="M7" s="139">
        <v>0</v>
      </c>
      <c r="N7" s="139">
        <v>591.57799999999986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1112.6099999999997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111.59200000000001</v>
      </c>
      <c r="J8" s="139">
        <v>5.306</v>
      </c>
      <c r="K8" s="139">
        <v>38.227999999999994</v>
      </c>
      <c r="L8" s="139">
        <v>0</v>
      </c>
      <c r="M8" s="139">
        <v>0</v>
      </c>
      <c r="N8" s="139">
        <v>116.89800000000001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122.443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544.31799999999987</v>
      </c>
      <c r="J9" s="139">
        <v>2.48</v>
      </c>
      <c r="K9" s="139">
        <v>11.059999999999999</v>
      </c>
      <c r="L9" s="139">
        <v>0</v>
      </c>
      <c r="M9" s="139">
        <v>0</v>
      </c>
      <c r="N9" s="139">
        <v>546.79799999999989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900.36799999999994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484.26500000000004</v>
      </c>
      <c r="J10" s="139">
        <v>0.4</v>
      </c>
      <c r="K10" s="139">
        <v>4.2699999999999996</v>
      </c>
      <c r="L10" s="139">
        <v>0</v>
      </c>
      <c r="M10" s="139">
        <v>0</v>
      </c>
      <c r="N10" s="139">
        <v>484.66500000000002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492.82500000000005</v>
      </c>
    </row>
    <row r="11" spans="1:21" s="111" customFormat="1" ht="38.25" customHeight="1" x14ac:dyDescent="0.4">
      <c r="A11" s="308" t="s">
        <v>82</v>
      </c>
      <c r="B11" s="309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1729.8529999999998</v>
      </c>
      <c r="J11" s="141">
        <v>10.086</v>
      </c>
      <c r="K11" s="141">
        <v>94.081000000000003</v>
      </c>
      <c r="L11" s="141">
        <v>0</v>
      </c>
      <c r="M11" s="141">
        <v>0</v>
      </c>
      <c r="N11" s="141">
        <v>1739.9389999999999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2628.2459999999992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787.17499999999995</v>
      </c>
      <c r="J12" s="139">
        <v>0.38</v>
      </c>
      <c r="K12" s="139">
        <v>65.515000000000001</v>
      </c>
      <c r="L12" s="139">
        <v>0</v>
      </c>
      <c r="M12" s="139">
        <v>0</v>
      </c>
      <c r="N12" s="139">
        <v>787.55499999999995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1365.1849999999997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524.59200000000021</v>
      </c>
      <c r="J13" s="139">
        <v>2.64</v>
      </c>
      <c r="K13" s="139">
        <v>6.3319999999999999</v>
      </c>
      <c r="L13" s="139">
        <v>0</v>
      </c>
      <c r="M13" s="139">
        <v>0</v>
      </c>
      <c r="N13" s="139">
        <v>527.2320000000002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864.34200000000033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863.76800000000026</v>
      </c>
      <c r="J14" s="139">
        <v>1.59</v>
      </c>
      <c r="K14" s="139">
        <v>36.957999999999998</v>
      </c>
      <c r="L14" s="139">
        <v>0</v>
      </c>
      <c r="M14" s="139">
        <v>0</v>
      </c>
      <c r="N14" s="139">
        <v>865.35800000000029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2201.0179999999996</v>
      </c>
    </row>
    <row r="15" spans="1:21" s="111" customFormat="1" ht="38.25" customHeight="1" x14ac:dyDescent="0.4">
      <c r="A15" s="308" t="s">
        <v>86</v>
      </c>
      <c r="B15" s="309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2175.5350000000008</v>
      </c>
      <c r="J15" s="141">
        <v>4.6100000000000003</v>
      </c>
      <c r="K15" s="141">
        <v>108.80499999999999</v>
      </c>
      <c r="L15" s="141">
        <v>0</v>
      </c>
      <c r="M15" s="141">
        <v>0</v>
      </c>
      <c r="N15" s="141">
        <v>2180.1450000000009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4430.5450000000001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981.17400000000032</v>
      </c>
      <c r="D16" s="139">
        <v>0.39</v>
      </c>
      <c r="E16" s="139">
        <v>1.9299999999999997</v>
      </c>
      <c r="F16" s="139">
        <v>12.2</v>
      </c>
      <c r="G16" s="139">
        <v>57.36</v>
      </c>
      <c r="H16" s="139">
        <v>969.36400000000037</v>
      </c>
      <c r="I16" s="139">
        <v>236.39599999999999</v>
      </c>
      <c r="J16" s="139">
        <v>2.38</v>
      </c>
      <c r="K16" s="139">
        <v>128.005</v>
      </c>
      <c r="L16" s="139">
        <v>0</v>
      </c>
      <c r="M16" s="139">
        <v>0</v>
      </c>
      <c r="N16" s="139">
        <v>238.77599999999998</v>
      </c>
      <c r="O16" s="139">
        <v>245.93200000000002</v>
      </c>
      <c r="P16" s="139">
        <v>0.02</v>
      </c>
      <c r="Q16" s="139">
        <v>0.05</v>
      </c>
      <c r="R16" s="139">
        <v>0</v>
      </c>
      <c r="S16" s="139">
        <v>0</v>
      </c>
      <c r="T16" s="139">
        <v>245.95200000000003</v>
      </c>
      <c r="U16" s="139">
        <v>1454.0920000000003</v>
      </c>
    </row>
    <row r="17" spans="1:21" ht="38.25" customHeight="1" x14ac:dyDescent="0.35">
      <c r="A17" s="171">
        <v>9</v>
      </c>
      <c r="B17" s="172" t="s">
        <v>120</v>
      </c>
      <c r="C17" s="139">
        <v>147.60599999999994</v>
      </c>
      <c r="D17" s="174">
        <v>0</v>
      </c>
      <c r="E17" s="139">
        <v>3.51</v>
      </c>
      <c r="F17" s="174">
        <v>28.1</v>
      </c>
      <c r="G17" s="139">
        <v>67.83</v>
      </c>
      <c r="H17" s="139">
        <v>119.50599999999994</v>
      </c>
      <c r="I17" s="139">
        <v>372.64000000000016</v>
      </c>
      <c r="J17" s="174">
        <v>29.58</v>
      </c>
      <c r="K17" s="139">
        <v>61.480000000000004</v>
      </c>
      <c r="L17" s="174">
        <v>0</v>
      </c>
      <c r="M17" s="139">
        <v>0</v>
      </c>
      <c r="N17" s="139">
        <v>402.22000000000014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584.46600000000012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210.81600000000009</v>
      </c>
      <c r="D18" s="139">
        <v>0.03</v>
      </c>
      <c r="E18" s="139">
        <v>0.29000000000000004</v>
      </c>
      <c r="F18" s="139">
        <v>0</v>
      </c>
      <c r="G18" s="139">
        <v>0</v>
      </c>
      <c r="H18" s="139">
        <v>210.84600000000009</v>
      </c>
      <c r="I18" s="139">
        <v>352.04699999999997</v>
      </c>
      <c r="J18" s="139">
        <v>0.48</v>
      </c>
      <c r="K18" s="139">
        <v>6.32</v>
      </c>
      <c r="L18" s="139">
        <v>0</v>
      </c>
      <c r="M18" s="139">
        <v>0</v>
      </c>
      <c r="N18" s="139">
        <v>352.52699999999999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571.74800000000005</v>
      </c>
    </row>
    <row r="19" spans="1:21" s="111" customFormat="1" ht="38.25" customHeight="1" x14ac:dyDescent="0.4">
      <c r="A19" s="308" t="s">
        <v>89</v>
      </c>
      <c r="B19" s="309"/>
      <c r="C19" s="141">
        <v>1339.5960000000002</v>
      </c>
      <c r="D19" s="141">
        <v>0.42000000000000004</v>
      </c>
      <c r="E19" s="141">
        <v>5.7299999999999995</v>
      </c>
      <c r="F19" s="141">
        <v>40.299999999999997</v>
      </c>
      <c r="G19" s="141">
        <v>125.19</v>
      </c>
      <c r="H19" s="141">
        <v>1299.7160000000003</v>
      </c>
      <c r="I19" s="141">
        <v>961.08300000000008</v>
      </c>
      <c r="J19" s="141">
        <v>32.44</v>
      </c>
      <c r="K19" s="141">
        <v>195.80500000000001</v>
      </c>
      <c r="L19" s="141">
        <v>0</v>
      </c>
      <c r="M19" s="141">
        <v>0</v>
      </c>
      <c r="N19" s="141">
        <v>993.52300000000014</v>
      </c>
      <c r="O19" s="141">
        <v>317.04700000000003</v>
      </c>
      <c r="P19" s="141">
        <v>0.02</v>
      </c>
      <c r="Q19" s="141">
        <v>0.08</v>
      </c>
      <c r="R19" s="141">
        <v>0</v>
      </c>
      <c r="S19" s="141">
        <v>1.665</v>
      </c>
      <c r="T19" s="141">
        <v>317.06700000000001</v>
      </c>
      <c r="U19" s="141">
        <v>2610.3060000000005</v>
      </c>
    </row>
    <row r="20" spans="1:21" ht="38.25" customHeight="1" x14ac:dyDescent="0.35">
      <c r="A20" s="171">
        <v>8</v>
      </c>
      <c r="B20" s="172" t="s">
        <v>91</v>
      </c>
      <c r="C20" s="139">
        <v>642.01999999999987</v>
      </c>
      <c r="D20" s="139">
        <v>0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395.61500000000012</v>
      </c>
      <c r="J20" s="139">
        <v>4.25</v>
      </c>
      <c r="K20" s="139">
        <v>9.8550000000000004</v>
      </c>
      <c r="L20" s="139">
        <v>0</v>
      </c>
      <c r="M20" s="139">
        <v>0</v>
      </c>
      <c r="N20" s="139">
        <v>399.86500000000012</v>
      </c>
      <c r="O20" s="139">
        <v>40.370000000000005</v>
      </c>
      <c r="P20" s="139">
        <v>0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1082.2550000000001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415.25699999999995</v>
      </c>
      <c r="J21" s="139">
        <v>0.28000000000000003</v>
      </c>
      <c r="K21" s="139">
        <v>27.034000000000002</v>
      </c>
      <c r="L21" s="139">
        <v>0</v>
      </c>
      <c r="M21" s="139">
        <v>0</v>
      </c>
      <c r="N21" s="139">
        <v>415.53699999999992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445.65699999999993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443.30000000000007</v>
      </c>
      <c r="J22" s="139">
        <v>0.26</v>
      </c>
      <c r="K22" s="139">
        <v>109.605</v>
      </c>
      <c r="L22" s="139">
        <v>0</v>
      </c>
      <c r="M22" s="139">
        <v>19.510000000000002</v>
      </c>
      <c r="N22" s="139">
        <v>443.56000000000006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561.2600000000001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430.04499999999985</v>
      </c>
      <c r="D23" s="139">
        <v>0.6</v>
      </c>
      <c r="E23" s="139">
        <v>8.35</v>
      </c>
      <c r="F23" s="139">
        <v>0</v>
      </c>
      <c r="G23" s="139">
        <v>0</v>
      </c>
      <c r="H23" s="139">
        <v>430.64499999999987</v>
      </c>
      <c r="I23" s="139">
        <v>82.784999999999997</v>
      </c>
      <c r="J23" s="139">
        <v>1.07</v>
      </c>
      <c r="K23" s="139">
        <v>7.0549999999999997</v>
      </c>
      <c r="L23" s="139">
        <v>0</v>
      </c>
      <c r="M23" s="139">
        <v>0</v>
      </c>
      <c r="N23" s="139">
        <v>83.85499999999999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533.7399999999999</v>
      </c>
    </row>
    <row r="24" spans="1:21" s="111" customFormat="1" ht="38.25" customHeight="1" x14ac:dyDescent="0.4">
      <c r="A24" s="313" t="s">
        <v>94</v>
      </c>
      <c r="B24" s="313"/>
      <c r="C24" s="141">
        <v>1199.7249999999997</v>
      </c>
      <c r="D24" s="141">
        <v>0.6</v>
      </c>
      <c r="E24" s="141">
        <v>11.57</v>
      </c>
      <c r="F24" s="141">
        <v>0</v>
      </c>
      <c r="G24" s="141">
        <v>72.819999999999993</v>
      </c>
      <c r="H24" s="141">
        <v>1200.3249999999998</v>
      </c>
      <c r="I24" s="141">
        <v>1336.9570000000001</v>
      </c>
      <c r="J24" s="141">
        <v>5.86</v>
      </c>
      <c r="K24" s="141">
        <v>153.54900000000001</v>
      </c>
      <c r="L24" s="141">
        <v>0</v>
      </c>
      <c r="M24" s="141">
        <v>19.510000000000002</v>
      </c>
      <c r="N24" s="141">
        <v>1342.817</v>
      </c>
      <c r="O24" s="141">
        <v>79.77000000000001</v>
      </c>
      <c r="P24" s="141">
        <v>0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2622.9119999999998</v>
      </c>
    </row>
    <row r="25" spans="1:21" s="145" customFormat="1" ht="38.25" customHeight="1" x14ac:dyDescent="0.4">
      <c r="A25" s="308" t="s">
        <v>95</v>
      </c>
      <c r="B25" s="309"/>
      <c r="C25" s="141">
        <v>5440.1879999999992</v>
      </c>
      <c r="D25" s="141">
        <v>1.02</v>
      </c>
      <c r="E25" s="141">
        <v>17.45</v>
      </c>
      <c r="F25" s="141">
        <v>40.299999999999997</v>
      </c>
      <c r="G25" s="141">
        <v>230.05799999999999</v>
      </c>
      <c r="H25" s="141">
        <v>5400.9079999999985</v>
      </c>
      <c r="I25" s="141">
        <v>6203.4280000000008</v>
      </c>
      <c r="J25" s="141">
        <v>52.995999999999995</v>
      </c>
      <c r="K25" s="141">
        <v>552.24</v>
      </c>
      <c r="L25" s="141">
        <v>0</v>
      </c>
      <c r="M25" s="141">
        <v>19.510000000000002</v>
      </c>
      <c r="N25" s="141">
        <v>6256.4240000000009</v>
      </c>
      <c r="O25" s="141">
        <v>634.65699999999993</v>
      </c>
      <c r="P25" s="141">
        <v>0.02</v>
      </c>
      <c r="Q25" s="141">
        <v>2.11</v>
      </c>
      <c r="R25" s="141">
        <v>0</v>
      </c>
      <c r="S25" s="141">
        <v>19.554999999999996</v>
      </c>
      <c r="T25" s="141">
        <v>634.67699999999991</v>
      </c>
      <c r="U25" s="141">
        <v>12292.009</v>
      </c>
    </row>
    <row r="26" spans="1:21" ht="38.25" customHeight="1" x14ac:dyDescent="0.35">
      <c r="A26" s="171">
        <v>15</v>
      </c>
      <c r="B26" s="172" t="s">
        <v>96</v>
      </c>
      <c r="C26" s="139">
        <v>7463.686999999999</v>
      </c>
      <c r="D26" s="139">
        <v>5.88</v>
      </c>
      <c r="E26" s="139">
        <v>68.92</v>
      </c>
      <c r="F26" s="139">
        <v>0</v>
      </c>
      <c r="G26" s="139">
        <v>0</v>
      </c>
      <c r="H26" s="139">
        <v>7469.5669999999991</v>
      </c>
      <c r="I26" s="139">
        <v>59.470000000000006</v>
      </c>
      <c r="J26" s="139">
        <v>3.4</v>
      </c>
      <c r="K26" s="139">
        <v>3.82</v>
      </c>
      <c r="L26" s="139">
        <v>0</v>
      </c>
      <c r="M26" s="139">
        <v>0</v>
      </c>
      <c r="N26" s="139">
        <v>62.870000000000005</v>
      </c>
      <c r="O26" s="139">
        <v>3.64</v>
      </c>
      <c r="P26" s="139">
        <v>0</v>
      </c>
      <c r="Q26" s="139">
        <v>2.62</v>
      </c>
      <c r="R26" s="139">
        <v>0</v>
      </c>
      <c r="S26" s="139">
        <v>0</v>
      </c>
      <c r="T26" s="139">
        <v>3.64</v>
      </c>
      <c r="U26" s="139">
        <v>7536.0769999999993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5535.8950000000013</v>
      </c>
      <c r="D27" s="139">
        <v>11.64</v>
      </c>
      <c r="E27" s="139">
        <v>79.035000000000011</v>
      </c>
      <c r="F27" s="139">
        <v>0</v>
      </c>
      <c r="G27" s="139">
        <v>0</v>
      </c>
      <c r="H27" s="139">
        <v>5547.5350000000017</v>
      </c>
      <c r="I27" s="139">
        <v>569.39800000000002</v>
      </c>
      <c r="J27" s="139">
        <v>6.65</v>
      </c>
      <c r="K27" s="139">
        <v>20.049999999999997</v>
      </c>
      <c r="L27" s="139">
        <v>0</v>
      </c>
      <c r="M27" s="139">
        <v>0</v>
      </c>
      <c r="N27" s="139">
        <v>576.048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6140.5030000000015</v>
      </c>
    </row>
    <row r="28" spans="1:21" s="111" customFormat="1" ht="38.25" customHeight="1" x14ac:dyDescent="0.4">
      <c r="A28" s="313" t="s">
        <v>98</v>
      </c>
      <c r="B28" s="313"/>
      <c r="C28" s="141">
        <v>12999.582</v>
      </c>
      <c r="D28" s="141">
        <v>17.52</v>
      </c>
      <c r="E28" s="141">
        <v>147.95500000000001</v>
      </c>
      <c r="F28" s="141">
        <v>0</v>
      </c>
      <c r="G28" s="141">
        <v>0</v>
      </c>
      <c r="H28" s="141">
        <v>13017.102000000001</v>
      </c>
      <c r="I28" s="141">
        <v>628.86800000000005</v>
      </c>
      <c r="J28" s="141">
        <v>10.050000000000001</v>
      </c>
      <c r="K28" s="141">
        <v>23.869999999999997</v>
      </c>
      <c r="L28" s="141">
        <v>0</v>
      </c>
      <c r="M28" s="141">
        <v>0</v>
      </c>
      <c r="N28" s="141">
        <v>638.91800000000001</v>
      </c>
      <c r="O28" s="141">
        <v>20.560000000000002</v>
      </c>
      <c r="P28" s="141">
        <v>0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13676.580000000002</v>
      </c>
    </row>
    <row r="29" spans="1:21" ht="38.25" customHeight="1" x14ac:dyDescent="0.35">
      <c r="A29" s="171">
        <v>17</v>
      </c>
      <c r="B29" s="172" t="s">
        <v>99</v>
      </c>
      <c r="C29" s="139">
        <v>4414.4380000000001</v>
      </c>
      <c r="D29" s="139">
        <v>1.42</v>
      </c>
      <c r="E29" s="139">
        <v>32.781000000000006</v>
      </c>
      <c r="F29" s="139">
        <v>0</v>
      </c>
      <c r="G29" s="139">
        <v>0</v>
      </c>
      <c r="H29" s="139">
        <v>4415.8580000000002</v>
      </c>
      <c r="I29" s="139">
        <v>120.91</v>
      </c>
      <c r="J29" s="139">
        <v>0.1</v>
      </c>
      <c r="K29" s="139">
        <v>24.35</v>
      </c>
      <c r="L29" s="139">
        <v>0</v>
      </c>
      <c r="M29" s="139">
        <v>0</v>
      </c>
      <c r="N29" s="139">
        <v>121.00999999999999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4594.5880000000006</v>
      </c>
    </row>
    <row r="30" spans="1:21" ht="38.25" customHeight="1" x14ac:dyDescent="0.35">
      <c r="A30" s="171">
        <v>18</v>
      </c>
      <c r="B30" s="172" t="s">
        <v>100</v>
      </c>
      <c r="C30" s="139">
        <v>458.93099999999993</v>
      </c>
      <c r="D30" s="139">
        <v>4.82</v>
      </c>
      <c r="E30" s="139">
        <v>60.838999999999999</v>
      </c>
      <c r="F30" s="139">
        <v>0</v>
      </c>
      <c r="G30" s="139">
        <v>0</v>
      </c>
      <c r="H30" s="139">
        <v>463.75099999999992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485.29799999999994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4242.0709999999999</v>
      </c>
      <c r="D31" s="139">
        <v>88.88</v>
      </c>
      <c r="E31" s="139">
        <v>107.39999999999999</v>
      </c>
      <c r="F31" s="139">
        <v>0</v>
      </c>
      <c r="G31" s="139">
        <v>0</v>
      </c>
      <c r="H31" s="139">
        <v>4330.951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4589.8910000000005</v>
      </c>
    </row>
    <row r="32" spans="1:21" ht="38.25" customHeight="1" x14ac:dyDescent="0.35">
      <c r="A32" s="171">
        <v>20</v>
      </c>
      <c r="B32" s="172" t="s">
        <v>102</v>
      </c>
      <c r="C32" s="139">
        <v>2596.0657999999999</v>
      </c>
      <c r="D32" s="139">
        <v>1.48</v>
      </c>
      <c r="E32" s="139">
        <v>20.230000000000004</v>
      </c>
      <c r="F32" s="139">
        <v>0</v>
      </c>
      <c r="G32" s="139">
        <v>0</v>
      </c>
      <c r="H32" s="139">
        <v>2597.5457999999999</v>
      </c>
      <c r="I32" s="139">
        <v>187.26600000000005</v>
      </c>
      <c r="J32" s="139">
        <v>0.51</v>
      </c>
      <c r="K32" s="139">
        <v>5.7149999999999999</v>
      </c>
      <c r="L32" s="139">
        <v>0</v>
      </c>
      <c r="M32" s="139">
        <v>0</v>
      </c>
      <c r="N32" s="139">
        <v>187.77600000000004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2806.1137999999996</v>
      </c>
    </row>
    <row r="33" spans="1:21" s="111" customFormat="1" ht="38.25" customHeight="1" x14ac:dyDescent="0.4">
      <c r="A33" s="313" t="s">
        <v>99</v>
      </c>
      <c r="B33" s="313"/>
      <c r="C33" s="141">
        <v>11711.505799999999</v>
      </c>
      <c r="D33" s="141">
        <v>96.6</v>
      </c>
      <c r="E33" s="141">
        <v>221.25</v>
      </c>
      <c r="F33" s="141">
        <v>0</v>
      </c>
      <c r="G33" s="141">
        <v>0</v>
      </c>
      <c r="H33" s="141">
        <v>11808.105800000001</v>
      </c>
      <c r="I33" s="141">
        <v>430.26300000000003</v>
      </c>
      <c r="J33" s="141">
        <v>0.61</v>
      </c>
      <c r="K33" s="141">
        <v>30.345000000000002</v>
      </c>
      <c r="L33" s="141">
        <v>0</v>
      </c>
      <c r="M33" s="141">
        <v>0</v>
      </c>
      <c r="N33" s="141">
        <v>430.87300000000005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12475.890800000001</v>
      </c>
    </row>
    <row r="34" spans="1:21" ht="38.25" customHeight="1" x14ac:dyDescent="0.35">
      <c r="A34" s="171">
        <v>21</v>
      </c>
      <c r="B34" s="172" t="s">
        <v>103</v>
      </c>
      <c r="C34" s="139">
        <v>4409.670000000001</v>
      </c>
      <c r="D34" s="139">
        <v>3.12</v>
      </c>
      <c r="E34" s="139">
        <v>40.499999999999993</v>
      </c>
      <c r="F34" s="139">
        <v>0</v>
      </c>
      <c r="G34" s="139">
        <v>0</v>
      </c>
      <c r="H34" s="139">
        <v>4412.7900000000009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4422.1900000000005</v>
      </c>
    </row>
    <row r="35" spans="1:21" ht="38.25" customHeight="1" x14ac:dyDescent="0.35">
      <c r="A35" s="171">
        <v>22</v>
      </c>
      <c r="B35" s="172" t="s">
        <v>104</v>
      </c>
      <c r="C35" s="139">
        <v>5993.9999999999982</v>
      </c>
      <c r="D35" s="139">
        <v>11.82</v>
      </c>
      <c r="E35" s="139">
        <v>119.19999999999999</v>
      </c>
      <c r="F35" s="139">
        <v>0</v>
      </c>
      <c r="G35" s="139">
        <v>0</v>
      </c>
      <c r="H35" s="139">
        <v>6005.8199999999979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6009.8499999999976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4757.5399999999972</v>
      </c>
      <c r="D37" s="139">
        <v>0.24</v>
      </c>
      <c r="E37" s="139">
        <v>56.339999999999996</v>
      </c>
      <c r="F37" s="139">
        <v>0</v>
      </c>
      <c r="G37" s="139">
        <v>0</v>
      </c>
      <c r="H37" s="139">
        <v>4757.779999999997</v>
      </c>
      <c r="I37" s="139">
        <v>19.350000000000001</v>
      </c>
      <c r="J37" s="139">
        <v>0</v>
      </c>
      <c r="K37" s="139">
        <v>12.43</v>
      </c>
      <c r="L37" s="139">
        <v>0</v>
      </c>
      <c r="M37" s="139">
        <v>0</v>
      </c>
      <c r="N37" s="139">
        <v>19.350000000000001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4778.1699999999973</v>
      </c>
    </row>
    <row r="38" spans="1:21" s="111" customFormat="1" ht="38.25" customHeight="1" x14ac:dyDescent="0.4">
      <c r="A38" s="313" t="s">
        <v>107</v>
      </c>
      <c r="B38" s="313"/>
      <c r="C38" s="141">
        <v>18123.229999999996</v>
      </c>
      <c r="D38" s="141">
        <v>15.180000000000001</v>
      </c>
      <c r="E38" s="141">
        <v>242.89</v>
      </c>
      <c r="F38" s="141">
        <v>0</v>
      </c>
      <c r="G38" s="141">
        <v>0</v>
      </c>
      <c r="H38" s="141">
        <v>18138.409999999996</v>
      </c>
      <c r="I38" s="141">
        <v>188.40000000000003</v>
      </c>
      <c r="J38" s="141">
        <v>0</v>
      </c>
      <c r="K38" s="141">
        <v>12.43</v>
      </c>
      <c r="L38" s="141">
        <v>0</v>
      </c>
      <c r="M38" s="141">
        <v>0</v>
      </c>
      <c r="N38" s="141">
        <v>188.40000000000003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18330.079999999994</v>
      </c>
    </row>
    <row r="39" spans="1:21" s="145" customFormat="1" ht="38.25" customHeight="1" x14ac:dyDescent="0.4">
      <c r="A39" s="313" t="s">
        <v>108</v>
      </c>
      <c r="B39" s="313"/>
      <c r="C39" s="141">
        <v>42834.317799999997</v>
      </c>
      <c r="D39" s="141">
        <v>129.30000000000001</v>
      </c>
      <c r="E39" s="141">
        <v>612.09500000000003</v>
      </c>
      <c r="F39" s="141">
        <v>0</v>
      </c>
      <c r="G39" s="141">
        <v>0</v>
      </c>
      <c r="H39" s="141">
        <v>42963.6178</v>
      </c>
      <c r="I39" s="141">
        <v>1247.5309999999999</v>
      </c>
      <c r="J39" s="141">
        <v>10.66</v>
      </c>
      <c r="K39" s="141">
        <v>66.64500000000001</v>
      </c>
      <c r="L39" s="141">
        <v>0</v>
      </c>
      <c r="M39" s="141">
        <v>0</v>
      </c>
      <c r="N39" s="141">
        <v>1258.191</v>
      </c>
      <c r="O39" s="141">
        <v>260.74200000000002</v>
      </c>
      <c r="P39" s="141">
        <v>0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44482.550799999997</v>
      </c>
    </row>
    <row r="40" spans="1:21" ht="38.25" customHeight="1" x14ac:dyDescent="0.35">
      <c r="A40" s="171">
        <v>25</v>
      </c>
      <c r="B40" s="172" t="s">
        <v>109</v>
      </c>
      <c r="C40" s="139">
        <v>11148.233999999999</v>
      </c>
      <c r="D40" s="139">
        <v>9.0299999999999994</v>
      </c>
      <c r="E40" s="139">
        <v>162.404</v>
      </c>
      <c r="F40" s="139">
        <v>0</v>
      </c>
      <c r="G40" s="139">
        <v>0</v>
      </c>
      <c r="H40" s="139">
        <v>11157.263999999999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11157.263999999999</v>
      </c>
    </row>
    <row r="41" spans="1:21" ht="38.25" customHeight="1" x14ac:dyDescent="0.35">
      <c r="A41" s="171">
        <v>26</v>
      </c>
      <c r="B41" s="172" t="s">
        <v>110</v>
      </c>
      <c r="C41" s="139">
        <v>7339.9989999999952</v>
      </c>
      <c r="D41" s="139">
        <v>36.628</v>
      </c>
      <c r="E41" s="139">
        <v>304.94099999999997</v>
      </c>
      <c r="F41" s="139">
        <v>0</v>
      </c>
      <c r="G41" s="139">
        <v>0</v>
      </c>
      <c r="H41" s="139">
        <v>7376.626999999995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7376.626999999995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13658.898999999998</v>
      </c>
      <c r="D42" s="139">
        <v>28.3</v>
      </c>
      <c r="E42" s="139">
        <v>173.083</v>
      </c>
      <c r="F42" s="139">
        <v>0</v>
      </c>
      <c r="G42" s="139">
        <v>0</v>
      </c>
      <c r="H42" s="139">
        <v>13687.198999999997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5.67</v>
      </c>
      <c r="P42" s="139">
        <v>0</v>
      </c>
      <c r="Q42" s="139">
        <v>5.67</v>
      </c>
      <c r="R42" s="139">
        <v>0</v>
      </c>
      <c r="S42" s="139">
        <v>0</v>
      </c>
      <c r="T42" s="139">
        <v>5.67</v>
      </c>
      <c r="U42" s="139">
        <v>13692.868999999997</v>
      </c>
    </row>
    <row r="43" spans="1:21" ht="38.25" customHeight="1" x14ac:dyDescent="0.35">
      <c r="A43" s="171">
        <v>28</v>
      </c>
      <c r="B43" s="172" t="s">
        <v>112</v>
      </c>
      <c r="C43" s="139">
        <v>1045.5000000000005</v>
      </c>
      <c r="D43" s="139">
        <v>3.95</v>
      </c>
      <c r="E43" s="139">
        <v>77.872</v>
      </c>
      <c r="F43" s="139">
        <v>0</v>
      </c>
      <c r="G43" s="139">
        <v>0</v>
      </c>
      <c r="H43" s="139">
        <v>1049.4500000000005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1049.4500000000005</v>
      </c>
    </row>
    <row r="44" spans="1:21" s="111" customFormat="1" ht="38.25" customHeight="1" x14ac:dyDescent="0.4">
      <c r="A44" s="313" t="s">
        <v>109</v>
      </c>
      <c r="B44" s="313"/>
      <c r="C44" s="141">
        <v>33192.631999999991</v>
      </c>
      <c r="D44" s="141">
        <v>77.908000000000001</v>
      </c>
      <c r="E44" s="141">
        <v>718.3</v>
      </c>
      <c r="F44" s="141">
        <v>0</v>
      </c>
      <c r="G44" s="141">
        <v>0</v>
      </c>
      <c r="H44" s="141">
        <v>33270.539999999994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5.67</v>
      </c>
      <c r="P44" s="141">
        <v>0</v>
      </c>
      <c r="Q44" s="141">
        <v>5.67</v>
      </c>
      <c r="R44" s="141">
        <v>0</v>
      </c>
      <c r="S44" s="141">
        <v>0</v>
      </c>
      <c r="T44" s="141">
        <v>5.67</v>
      </c>
      <c r="U44" s="141">
        <v>33276.209999999992</v>
      </c>
    </row>
    <row r="45" spans="1:21" ht="38.25" customHeight="1" x14ac:dyDescent="0.35">
      <c r="A45" s="171">
        <v>29</v>
      </c>
      <c r="B45" s="172" t="s">
        <v>113</v>
      </c>
      <c r="C45" s="139">
        <v>8250.8021000000008</v>
      </c>
      <c r="D45" s="139">
        <v>17.04</v>
      </c>
      <c r="E45" s="139">
        <v>219.4</v>
      </c>
      <c r="F45" s="139">
        <v>0</v>
      </c>
      <c r="G45" s="139">
        <v>0</v>
      </c>
      <c r="H45" s="139">
        <v>8267.8421000000017</v>
      </c>
      <c r="I45" s="139">
        <v>1.2600000000000002</v>
      </c>
      <c r="J45" s="139">
        <v>0.02</v>
      </c>
      <c r="K45" s="139">
        <v>0.42000000000000004</v>
      </c>
      <c r="L45" s="139">
        <v>0</v>
      </c>
      <c r="M45" s="139">
        <v>0</v>
      </c>
      <c r="N45" s="139">
        <v>1.2800000000000002</v>
      </c>
      <c r="O45" s="139">
        <v>14.75</v>
      </c>
      <c r="P45" s="139">
        <v>0</v>
      </c>
      <c r="Q45" s="139">
        <v>0.32</v>
      </c>
      <c r="R45" s="139">
        <v>0</v>
      </c>
      <c r="S45" s="139">
        <v>0</v>
      </c>
      <c r="T45" s="139">
        <v>14.75</v>
      </c>
      <c r="U45" s="139">
        <v>8283.8721000000023</v>
      </c>
    </row>
    <row r="46" spans="1:21" ht="38.25" customHeight="1" x14ac:dyDescent="0.35">
      <c r="A46" s="171">
        <v>30</v>
      </c>
      <c r="B46" s="172" t="s">
        <v>114</v>
      </c>
      <c r="C46" s="139">
        <v>7774.3050000000012</v>
      </c>
      <c r="D46" s="139">
        <v>11.8</v>
      </c>
      <c r="E46" s="139">
        <v>118.97999999999999</v>
      </c>
      <c r="F46" s="139">
        <v>0</v>
      </c>
      <c r="G46" s="139">
        <v>0</v>
      </c>
      <c r="H46" s="139">
        <v>7786.1050000000014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7787.0650000000014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8539.2900000000009</v>
      </c>
      <c r="D47" s="139">
        <v>74.150000000000006</v>
      </c>
      <c r="E47" s="139">
        <v>215.01000000000002</v>
      </c>
      <c r="F47" s="139">
        <v>0</v>
      </c>
      <c r="G47" s="139">
        <v>0</v>
      </c>
      <c r="H47" s="139">
        <v>8613.44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8620.36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7825.3789999999999</v>
      </c>
      <c r="D48" s="139">
        <v>17.66</v>
      </c>
      <c r="E48" s="139">
        <v>341.00900000000001</v>
      </c>
      <c r="F48" s="139">
        <v>0</v>
      </c>
      <c r="G48" s="139">
        <v>0</v>
      </c>
      <c r="H48" s="139">
        <v>7843.0389999999998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7843.5439999999999</v>
      </c>
    </row>
    <row r="49" spans="1:21" s="111" customFormat="1" ht="38.25" customHeight="1" x14ac:dyDescent="0.4">
      <c r="A49" s="313" t="s">
        <v>117</v>
      </c>
      <c r="B49" s="313"/>
      <c r="C49" s="141">
        <v>32389.776100000003</v>
      </c>
      <c r="D49" s="141">
        <v>120.65</v>
      </c>
      <c r="E49" s="141">
        <v>894.399</v>
      </c>
      <c r="F49" s="141">
        <v>0</v>
      </c>
      <c r="G49" s="141">
        <v>0</v>
      </c>
      <c r="H49" s="141">
        <v>32510.426100000004</v>
      </c>
      <c r="I49" s="141">
        <v>9.6150000000000002</v>
      </c>
      <c r="J49" s="141">
        <v>0.02</v>
      </c>
      <c r="K49" s="141">
        <v>0.42000000000000004</v>
      </c>
      <c r="L49" s="141">
        <v>0</v>
      </c>
      <c r="M49" s="141">
        <v>0</v>
      </c>
      <c r="N49" s="141">
        <v>9.6349999999999998</v>
      </c>
      <c r="O49" s="141">
        <v>14.78</v>
      </c>
      <c r="P49" s="141">
        <v>0</v>
      </c>
      <c r="Q49" s="141">
        <v>0.32</v>
      </c>
      <c r="R49" s="141">
        <v>0</v>
      </c>
      <c r="S49" s="141">
        <v>0</v>
      </c>
      <c r="T49" s="141">
        <v>14.78</v>
      </c>
      <c r="U49" s="141">
        <v>32534.841100000005</v>
      </c>
    </row>
    <row r="50" spans="1:21" s="145" customFormat="1" ht="38.25" customHeight="1" x14ac:dyDescent="0.4">
      <c r="A50" s="313" t="s">
        <v>118</v>
      </c>
      <c r="B50" s="313"/>
      <c r="C50" s="141">
        <v>65582.408100000001</v>
      </c>
      <c r="D50" s="141">
        <v>198.55799999999999</v>
      </c>
      <c r="E50" s="141">
        <v>1612.6990000000001</v>
      </c>
      <c r="F50" s="141">
        <v>0</v>
      </c>
      <c r="G50" s="141">
        <v>0</v>
      </c>
      <c r="H50" s="141">
        <v>65780.966099999991</v>
      </c>
      <c r="I50" s="141">
        <v>9.6150000000000002</v>
      </c>
      <c r="J50" s="141">
        <v>0.02</v>
      </c>
      <c r="K50" s="141">
        <v>0.42000000000000004</v>
      </c>
      <c r="L50" s="141">
        <v>0</v>
      </c>
      <c r="M50" s="141">
        <v>0</v>
      </c>
      <c r="N50" s="141">
        <v>9.6349999999999998</v>
      </c>
      <c r="O50" s="141">
        <v>20.45</v>
      </c>
      <c r="P50" s="141">
        <v>0</v>
      </c>
      <c r="Q50" s="141">
        <v>5.99</v>
      </c>
      <c r="R50" s="141">
        <v>0</v>
      </c>
      <c r="S50" s="141">
        <v>0</v>
      </c>
      <c r="T50" s="141">
        <v>20.45</v>
      </c>
      <c r="U50" s="141">
        <v>65811.051099999997</v>
      </c>
    </row>
    <row r="51" spans="1:21" s="146" customFormat="1" ht="38.25" customHeight="1" x14ac:dyDescent="0.4">
      <c r="A51" s="313" t="s">
        <v>119</v>
      </c>
      <c r="B51" s="313"/>
      <c r="C51" s="141">
        <f>C11+C15+C19+C24+C28+C33+C38+C44+C49</f>
        <v>113856.9139</v>
      </c>
      <c r="D51" s="141">
        <f t="shared" ref="D51:U51" si="0">D11+D15+D19+D24+D28+D33+D38+D44+D49</f>
        <v>328.87800000000004</v>
      </c>
      <c r="E51" s="141">
        <f t="shared" si="0"/>
        <v>2242.2439999999997</v>
      </c>
      <c r="F51" s="141">
        <f t="shared" si="0"/>
        <v>40.299999999999997</v>
      </c>
      <c r="G51" s="141">
        <f t="shared" si="0"/>
        <v>230.05799999999999</v>
      </c>
      <c r="H51" s="141">
        <f t="shared" si="0"/>
        <v>114145.49189999999</v>
      </c>
      <c r="I51" s="141">
        <f t="shared" si="0"/>
        <v>7460.5740000000014</v>
      </c>
      <c r="J51" s="141">
        <f t="shared" si="0"/>
        <v>63.675999999999995</v>
      </c>
      <c r="K51" s="141">
        <f t="shared" si="0"/>
        <v>619.30499999999995</v>
      </c>
      <c r="L51" s="141">
        <f t="shared" si="0"/>
        <v>0</v>
      </c>
      <c r="M51" s="141">
        <f t="shared" si="0"/>
        <v>19.510000000000002</v>
      </c>
      <c r="N51" s="141">
        <f t="shared" si="0"/>
        <v>7524.25</v>
      </c>
      <c r="O51" s="141">
        <f t="shared" si="0"/>
        <v>915.84899999999982</v>
      </c>
      <c r="P51" s="141">
        <f t="shared" si="0"/>
        <v>0.02</v>
      </c>
      <c r="Q51" s="141">
        <f t="shared" si="0"/>
        <v>10.727</v>
      </c>
      <c r="R51" s="141">
        <f t="shared" si="0"/>
        <v>0</v>
      </c>
      <c r="S51" s="141">
        <f t="shared" si="0"/>
        <v>19.555</v>
      </c>
      <c r="T51" s="141">
        <f t="shared" si="0"/>
        <v>915.8689999999998</v>
      </c>
      <c r="U51" s="141">
        <f t="shared" si="0"/>
        <v>122585.61089999999</v>
      </c>
    </row>
    <row r="52" spans="1:21" s="111" customFormat="1" ht="24" customHeight="1" x14ac:dyDescent="0.4">
      <c r="A52" s="115"/>
      <c r="B52" s="115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</row>
    <row r="53" spans="1:21" s="111" customFormat="1" ht="19.5" customHeight="1" x14ac:dyDescent="0.4">
      <c r="A53" s="115"/>
      <c r="B53" s="115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</row>
    <row r="54" spans="1:21" s="115" customFormat="1" ht="24.75" hidden="1" customHeight="1" x14ac:dyDescent="0.4">
      <c r="B54" s="209"/>
      <c r="C54" s="278" t="s">
        <v>54</v>
      </c>
      <c r="D54" s="278"/>
      <c r="E54" s="278"/>
      <c r="F54" s="278"/>
      <c r="G54" s="278"/>
      <c r="H54" s="118"/>
      <c r="I54" s="209"/>
      <c r="J54" s="209">
        <f>D51+J51+P51-F51-L51-R51</f>
        <v>352.274</v>
      </c>
      <c r="K54" s="209"/>
      <c r="L54" s="209"/>
      <c r="M54" s="209"/>
      <c r="N54" s="209"/>
      <c r="R54" s="209"/>
      <c r="U54" s="209"/>
    </row>
    <row r="55" spans="1:21" s="115" customFormat="1" ht="30" hidden="1" customHeight="1" x14ac:dyDescent="0.35">
      <c r="B55" s="209"/>
      <c r="C55" s="278" t="s">
        <v>55</v>
      </c>
      <c r="D55" s="278"/>
      <c r="E55" s="278"/>
      <c r="F55" s="278"/>
      <c r="G55" s="278"/>
      <c r="H55" s="119"/>
      <c r="I55" s="209"/>
      <c r="J55" s="209">
        <f>E51+K51+Q51-G51-M51-S51</f>
        <v>2603.1529999999993</v>
      </c>
      <c r="K55" s="209"/>
      <c r="L55" s="209"/>
      <c r="M55" s="209"/>
      <c r="N55" s="209"/>
      <c r="R55" s="209"/>
      <c r="T55" s="209"/>
    </row>
    <row r="56" spans="1:21" ht="33" hidden="1" customHeight="1" x14ac:dyDescent="0.5">
      <c r="C56" s="278" t="s">
        <v>56</v>
      </c>
      <c r="D56" s="278"/>
      <c r="E56" s="278"/>
      <c r="F56" s="278"/>
      <c r="G56" s="278"/>
      <c r="H56" s="119"/>
      <c r="I56" s="121"/>
      <c r="J56" s="209">
        <f>H51+N51+T51</f>
        <v>122585.6109</v>
      </c>
      <c r="K56" s="119"/>
      <c r="L56" s="119"/>
      <c r="M56" s="142" t="e">
        <f>#REF!+'Nov-2021'!J54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09"/>
      <c r="E57" s="209"/>
      <c r="F57" s="209"/>
      <c r="G57" s="209"/>
      <c r="H57" s="119"/>
      <c r="I57" s="121"/>
      <c r="J57" s="209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09"/>
      <c r="E58" s="209"/>
      <c r="F58" s="209"/>
      <c r="G58" s="209"/>
      <c r="H58" s="119"/>
      <c r="I58" s="121"/>
      <c r="J58" s="209"/>
      <c r="K58" s="119"/>
      <c r="L58" s="119"/>
      <c r="M58" s="142" t="e">
        <f>#REF!+'Nov-2021'!J54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87" t="s">
        <v>57</v>
      </c>
      <c r="C59" s="287"/>
      <c r="D59" s="287"/>
      <c r="E59" s="287"/>
      <c r="F59" s="287"/>
      <c r="G59" s="153"/>
      <c r="H59" s="154"/>
      <c r="I59" s="155"/>
      <c r="J59" s="288"/>
      <c r="K59" s="286"/>
      <c r="L59" s="286"/>
      <c r="M59" s="169" t="e">
        <f>#REF!+'Nov-2021'!J54</f>
        <v>#REF!</v>
      </c>
      <c r="N59" s="154"/>
      <c r="O59" s="154"/>
      <c r="P59" s="212"/>
      <c r="Q59" s="287" t="s">
        <v>58</v>
      </c>
      <c r="R59" s="287"/>
      <c r="S59" s="287"/>
      <c r="T59" s="287"/>
      <c r="U59" s="287"/>
    </row>
    <row r="60" spans="1:21" s="152" customFormat="1" ht="37.5" hidden="1" customHeight="1" x14ac:dyDescent="0.45">
      <c r="B60" s="287" t="s">
        <v>59</v>
      </c>
      <c r="C60" s="287"/>
      <c r="D60" s="287"/>
      <c r="E60" s="287"/>
      <c r="F60" s="287"/>
      <c r="G60" s="154"/>
      <c r="H60" s="153"/>
      <c r="I60" s="156"/>
      <c r="J60" s="157"/>
      <c r="K60" s="211"/>
      <c r="L60" s="157"/>
      <c r="M60" s="154"/>
      <c r="N60" s="153"/>
      <c r="O60" s="154"/>
      <c r="P60" s="212"/>
      <c r="Q60" s="287" t="s">
        <v>59</v>
      </c>
      <c r="R60" s="287"/>
      <c r="S60" s="287"/>
      <c r="T60" s="287"/>
      <c r="U60" s="287"/>
    </row>
    <row r="61" spans="1:21" s="152" customFormat="1" ht="37.5" hidden="1" customHeight="1" x14ac:dyDescent="0.45">
      <c r="I61" s="158"/>
      <c r="J61" s="286" t="s">
        <v>61</v>
      </c>
      <c r="K61" s="286"/>
      <c r="L61" s="286"/>
      <c r="M61" s="159" t="e">
        <f>#REF!+'Nov-2021'!J54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#REF!+'Nov-2021'!J54</f>
        <v>#REF!</v>
      </c>
      <c r="I62" s="158"/>
      <c r="J62" s="286" t="s">
        <v>62</v>
      </c>
      <c r="K62" s="286"/>
      <c r="L62" s="286"/>
      <c r="M62" s="159" t="e">
        <f>#REF!+'Nov-2021'!J54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7" activePane="bottomLeft" state="frozen"/>
      <selection pane="bottomLeft" sqref="A1:XFD1048576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141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02" t="s">
        <v>122</v>
      </c>
      <c r="B4" s="305" t="s">
        <v>121</v>
      </c>
      <c r="C4" s="281" t="s">
        <v>131</v>
      </c>
      <c r="D4" s="282"/>
      <c r="E4" s="282"/>
      <c r="F4" s="282"/>
      <c r="G4" s="282"/>
      <c r="H4" s="282"/>
      <c r="I4" s="281" t="s">
        <v>130</v>
      </c>
      <c r="J4" s="282"/>
      <c r="K4" s="282"/>
      <c r="L4" s="282"/>
      <c r="M4" s="282"/>
      <c r="N4" s="282"/>
      <c r="O4" s="281" t="s">
        <v>129</v>
      </c>
      <c r="P4" s="282"/>
      <c r="Q4" s="282"/>
      <c r="R4" s="282"/>
      <c r="S4" s="282"/>
      <c r="T4" s="282"/>
      <c r="U4" s="210"/>
    </row>
    <row r="5" spans="1:21" s="108" customFormat="1" ht="54.75" customHeight="1" x14ac:dyDescent="0.25">
      <c r="A5" s="304"/>
      <c r="B5" s="306"/>
      <c r="C5" s="291" t="s">
        <v>6</v>
      </c>
      <c r="D5" s="289" t="s">
        <v>127</v>
      </c>
      <c r="E5" s="290"/>
      <c r="F5" s="289" t="s">
        <v>126</v>
      </c>
      <c r="G5" s="290"/>
      <c r="H5" s="291" t="s">
        <v>9</v>
      </c>
      <c r="I5" s="291" t="s">
        <v>6</v>
      </c>
      <c r="J5" s="289" t="s">
        <v>127</v>
      </c>
      <c r="K5" s="290"/>
      <c r="L5" s="289" t="s">
        <v>126</v>
      </c>
      <c r="M5" s="290"/>
      <c r="N5" s="291" t="s">
        <v>9</v>
      </c>
      <c r="O5" s="291" t="s">
        <v>6</v>
      </c>
      <c r="P5" s="289" t="s">
        <v>127</v>
      </c>
      <c r="Q5" s="290"/>
      <c r="R5" s="289" t="s">
        <v>126</v>
      </c>
      <c r="S5" s="290"/>
      <c r="T5" s="291" t="s">
        <v>9</v>
      </c>
      <c r="U5" s="305" t="s">
        <v>128</v>
      </c>
    </row>
    <row r="6" spans="1:21" s="108" customFormat="1" ht="38.25" customHeight="1" x14ac:dyDescent="0.25">
      <c r="A6" s="304"/>
      <c r="B6" s="307"/>
      <c r="C6" s="292"/>
      <c r="D6" s="172" t="s">
        <v>124</v>
      </c>
      <c r="E6" s="172" t="s">
        <v>125</v>
      </c>
      <c r="F6" s="172" t="s">
        <v>124</v>
      </c>
      <c r="G6" s="172" t="s">
        <v>125</v>
      </c>
      <c r="H6" s="292"/>
      <c r="I6" s="292"/>
      <c r="J6" s="172" t="s">
        <v>124</v>
      </c>
      <c r="K6" s="172" t="s">
        <v>125</v>
      </c>
      <c r="L6" s="172" t="s">
        <v>124</v>
      </c>
      <c r="M6" s="172" t="s">
        <v>125</v>
      </c>
      <c r="N6" s="292"/>
      <c r="O6" s="292"/>
      <c r="P6" s="172" t="s">
        <v>124</v>
      </c>
      <c r="Q6" s="172" t="s">
        <v>125</v>
      </c>
      <c r="R6" s="172" t="s">
        <v>124</v>
      </c>
      <c r="S6" s="172" t="s">
        <v>125</v>
      </c>
      <c r="T6" s="292"/>
      <c r="U6" s="307"/>
    </row>
    <row r="7" spans="1:21" ht="38.25" customHeight="1" x14ac:dyDescent="0.35">
      <c r="A7" s="171">
        <v>1</v>
      </c>
      <c r="B7" s="172" t="s">
        <v>78</v>
      </c>
      <c r="C7" s="139">
        <v>189.45999999999998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189.45999999999998</v>
      </c>
      <c r="I7" s="139">
        <v>403.11799999999988</v>
      </c>
      <c r="J7" s="139">
        <v>1.27</v>
      </c>
      <c r="K7" s="139">
        <v>41.793000000000006</v>
      </c>
      <c r="L7" s="139">
        <v>0</v>
      </c>
      <c r="M7" s="139">
        <v>0</v>
      </c>
      <c r="N7" s="139">
        <v>404.38799999999986</v>
      </c>
      <c r="O7" s="139">
        <v>17.390000000000008</v>
      </c>
      <c r="P7" s="139">
        <v>0</v>
      </c>
      <c r="Q7" s="139">
        <v>1.88</v>
      </c>
      <c r="R7" s="139">
        <v>0</v>
      </c>
      <c r="S7" s="139">
        <v>1.88</v>
      </c>
      <c r="T7" s="139">
        <v>17.390000000000008</v>
      </c>
      <c r="U7" s="139">
        <v>611.23799999999983</v>
      </c>
    </row>
    <row r="8" spans="1:21" ht="38.25" customHeight="1" x14ac:dyDescent="0.35">
      <c r="A8" s="171">
        <v>2</v>
      </c>
      <c r="B8" s="172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300.40800000000002</v>
      </c>
      <c r="J8" s="139">
        <v>4.9800000000000004</v>
      </c>
      <c r="K8" s="139">
        <v>43.207999999999998</v>
      </c>
      <c r="L8" s="139">
        <v>0</v>
      </c>
      <c r="M8" s="139">
        <v>0</v>
      </c>
      <c r="N8" s="139">
        <v>305.38800000000003</v>
      </c>
      <c r="O8" s="139">
        <v>63.11</v>
      </c>
      <c r="P8" s="139">
        <v>3.18</v>
      </c>
      <c r="Q8" s="139">
        <v>3.18</v>
      </c>
      <c r="R8" s="139">
        <v>0</v>
      </c>
      <c r="S8" s="139">
        <v>0</v>
      </c>
      <c r="T8" s="139">
        <v>66.290000000000006</v>
      </c>
      <c r="U8" s="139">
        <v>637.06799999999998</v>
      </c>
    </row>
    <row r="9" spans="1:21" ht="38.25" customHeight="1" x14ac:dyDescent="0.35">
      <c r="A9" s="171">
        <v>3</v>
      </c>
      <c r="B9" s="172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694.58799999999997</v>
      </c>
      <c r="J9" s="139">
        <v>1.22</v>
      </c>
      <c r="K9" s="139">
        <v>12.28</v>
      </c>
      <c r="L9" s="139">
        <v>0</v>
      </c>
      <c r="M9" s="139">
        <v>0</v>
      </c>
      <c r="N9" s="139">
        <v>695.80799999999999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949.70799999999997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341.82500000000005</v>
      </c>
      <c r="J10" s="139">
        <v>0.09</v>
      </c>
      <c r="K10" s="139">
        <v>4.3599999999999994</v>
      </c>
      <c r="L10" s="139">
        <v>0</v>
      </c>
      <c r="M10" s="139">
        <v>0</v>
      </c>
      <c r="N10" s="139">
        <v>341.91500000000002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342.11500000000001</v>
      </c>
    </row>
    <row r="11" spans="1:21" s="111" customFormat="1" ht="38.25" customHeight="1" x14ac:dyDescent="0.4">
      <c r="A11" s="308" t="s">
        <v>82</v>
      </c>
      <c r="B11" s="309"/>
      <c r="C11" s="141">
        <v>664.01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664.01</v>
      </c>
      <c r="I11" s="141">
        <v>1739.9389999999999</v>
      </c>
      <c r="J11" s="141">
        <v>7.56</v>
      </c>
      <c r="K11" s="141">
        <v>101.64100000000001</v>
      </c>
      <c r="L11" s="141">
        <v>0</v>
      </c>
      <c r="M11" s="141">
        <v>0</v>
      </c>
      <c r="N11" s="141">
        <v>1747.4989999999998</v>
      </c>
      <c r="O11" s="141">
        <v>125.44</v>
      </c>
      <c r="P11" s="141">
        <v>3.18</v>
      </c>
      <c r="Q11" s="141">
        <v>5.0600000000000005</v>
      </c>
      <c r="R11" s="141">
        <v>0</v>
      </c>
      <c r="S11" s="141">
        <v>1.88</v>
      </c>
      <c r="T11" s="141">
        <v>128.62</v>
      </c>
      <c r="U11" s="141">
        <v>2540.1289999999999</v>
      </c>
    </row>
    <row r="12" spans="1:21" ht="38.25" customHeight="1" x14ac:dyDescent="0.35">
      <c r="A12" s="171">
        <v>4</v>
      </c>
      <c r="B12" s="172" t="s">
        <v>83</v>
      </c>
      <c r="C12" s="139">
        <v>413.23999999999961</v>
      </c>
      <c r="D12" s="139">
        <v>0</v>
      </c>
      <c r="E12" s="139">
        <v>0</v>
      </c>
      <c r="F12" s="139">
        <v>0</v>
      </c>
      <c r="G12" s="139">
        <v>23.09</v>
      </c>
      <c r="H12" s="139">
        <v>413.23999999999961</v>
      </c>
      <c r="I12" s="139">
        <v>801.68499999999995</v>
      </c>
      <c r="J12" s="139">
        <v>1.49</v>
      </c>
      <c r="K12" s="139">
        <v>67.004999999999995</v>
      </c>
      <c r="L12" s="139">
        <v>0</v>
      </c>
      <c r="M12" s="139">
        <v>0</v>
      </c>
      <c r="N12" s="139">
        <v>803.17499999999995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v>36.850000000000009</v>
      </c>
      <c r="U12" s="139">
        <v>1253.2649999999994</v>
      </c>
    </row>
    <row r="13" spans="1:21" ht="38.25" customHeight="1" x14ac:dyDescent="0.35">
      <c r="A13" s="171">
        <v>5</v>
      </c>
      <c r="B13" s="172" t="s">
        <v>84</v>
      </c>
      <c r="C13" s="139">
        <v>311.38000000000011</v>
      </c>
      <c r="D13" s="139">
        <v>0.85</v>
      </c>
      <c r="E13" s="139">
        <v>0.85</v>
      </c>
      <c r="F13" s="139">
        <v>0</v>
      </c>
      <c r="G13" s="139">
        <v>0</v>
      </c>
      <c r="H13" s="139">
        <v>312.23000000000013</v>
      </c>
      <c r="I13" s="139">
        <v>523.20200000000023</v>
      </c>
      <c r="J13" s="139">
        <v>2.42</v>
      </c>
      <c r="K13" s="139">
        <v>8.7519999999999989</v>
      </c>
      <c r="L13" s="139">
        <v>0</v>
      </c>
      <c r="M13" s="139">
        <v>0</v>
      </c>
      <c r="N13" s="139">
        <v>525.62200000000018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906.2420000000003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1216.4399999999994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1216.4399999999994</v>
      </c>
      <c r="I14" s="139">
        <v>855.25800000000027</v>
      </c>
      <c r="J14" s="139">
        <v>3.15</v>
      </c>
      <c r="K14" s="139">
        <v>40.107999999999997</v>
      </c>
      <c r="L14" s="139">
        <v>0</v>
      </c>
      <c r="M14" s="139">
        <v>0</v>
      </c>
      <c r="N14" s="139">
        <v>858.40800000000024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2136.1779999999994</v>
      </c>
    </row>
    <row r="15" spans="1:21" s="111" customFormat="1" ht="38.25" customHeight="1" x14ac:dyDescent="0.4">
      <c r="A15" s="308" t="s">
        <v>86</v>
      </c>
      <c r="B15" s="309"/>
      <c r="C15" s="141">
        <v>1941.059999999999</v>
      </c>
      <c r="D15" s="141">
        <v>0.85</v>
      </c>
      <c r="E15" s="141">
        <v>1</v>
      </c>
      <c r="F15" s="141">
        <v>0</v>
      </c>
      <c r="G15" s="141">
        <v>23.09</v>
      </c>
      <c r="H15" s="141">
        <v>1941.9099999999992</v>
      </c>
      <c r="I15" s="141">
        <v>2180.1450000000004</v>
      </c>
      <c r="J15" s="141">
        <v>7.0600000000000005</v>
      </c>
      <c r="K15" s="141">
        <v>115.86499999999998</v>
      </c>
      <c r="L15" s="141">
        <v>0</v>
      </c>
      <c r="M15" s="141">
        <v>0</v>
      </c>
      <c r="N15" s="141">
        <v>2187.2050000000004</v>
      </c>
      <c r="O15" s="141">
        <v>166.57</v>
      </c>
      <c r="P15" s="141">
        <v>0</v>
      </c>
      <c r="Q15" s="141">
        <v>0</v>
      </c>
      <c r="R15" s="141">
        <v>0</v>
      </c>
      <c r="S15" s="141">
        <v>0</v>
      </c>
      <c r="T15" s="141">
        <v>166.57</v>
      </c>
      <c r="U15" s="141">
        <v>4295.6849999999995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1011.2140000000004</v>
      </c>
      <c r="D16" s="139">
        <v>0</v>
      </c>
      <c r="E16" s="139">
        <v>1.9299999999999997</v>
      </c>
      <c r="F16" s="139">
        <v>0</v>
      </c>
      <c r="G16" s="139">
        <v>57.36</v>
      </c>
      <c r="H16" s="139">
        <v>1011.2140000000004</v>
      </c>
      <c r="I16" s="139">
        <v>254.68599999999998</v>
      </c>
      <c r="J16" s="139">
        <v>21.03</v>
      </c>
      <c r="K16" s="139">
        <v>149.035</v>
      </c>
      <c r="L16" s="139">
        <v>0</v>
      </c>
      <c r="M16" s="139">
        <v>0</v>
      </c>
      <c r="N16" s="139">
        <v>275.71600000000001</v>
      </c>
      <c r="O16" s="139">
        <v>177.31200000000004</v>
      </c>
      <c r="P16" s="139">
        <v>0</v>
      </c>
      <c r="Q16" s="139">
        <v>0.05</v>
      </c>
      <c r="R16" s="139">
        <v>0</v>
      </c>
      <c r="S16" s="139">
        <v>0</v>
      </c>
      <c r="T16" s="139">
        <v>177.31200000000004</v>
      </c>
      <c r="U16" s="139">
        <v>1464.2420000000004</v>
      </c>
    </row>
    <row r="17" spans="1:21" ht="38.25" customHeight="1" x14ac:dyDescent="0.35">
      <c r="A17" s="171">
        <v>9</v>
      </c>
      <c r="B17" s="172" t="s">
        <v>120</v>
      </c>
      <c r="C17" s="139">
        <v>58.815999999999946</v>
      </c>
      <c r="D17" s="174">
        <v>0</v>
      </c>
      <c r="E17" s="139">
        <v>3.51</v>
      </c>
      <c r="F17" s="174">
        <v>0</v>
      </c>
      <c r="G17" s="139">
        <v>67.83</v>
      </c>
      <c r="H17" s="139">
        <v>58.815999999999946</v>
      </c>
      <c r="I17" s="139">
        <v>409.51000000000016</v>
      </c>
      <c r="J17" s="174">
        <v>33.36</v>
      </c>
      <c r="K17" s="139">
        <v>94.84</v>
      </c>
      <c r="L17" s="174">
        <v>0</v>
      </c>
      <c r="M17" s="139">
        <v>0</v>
      </c>
      <c r="N17" s="139">
        <v>442.87000000000018</v>
      </c>
      <c r="O17" s="139">
        <v>6.33</v>
      </c>
      <c r="P17" s="174">
        <v>0</v>
      </c>
      <c r="Q17" s="139">
        <v>0.03</v>
      </c>
      <c r="R17" s="174">
        <v>0</v>
      </c>
      <c r="S17" s="139">
        <v>1.665</v>
      </c>
      <c r="T17" s="139">
        <v>6.33</v>
      </c>
      <c r="U17" s="139">
        <v>508.01600000000013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135.7760000000001</v>
      </c>
      <c r="D18" s="139">
        <v>0</v>
      </c>
      <c r="E18" s="139">
        <v>0.29000000000000004</v>
      </c>
      <c r="F18" s="139">
        <v>0</v>
      </c>
      <c r="G18" s="139">
        <v>0</v>
      </c>
      <c r="H18" s="139">
        <v>135.7760000000001</v>
      </c>
      <c r="I18" s="139">
        <v>348.85699999999997</v>
      </c>
      <c r="J18" s="139">
        <v>134.13999999999999</v>
      </c>
      <c r="K18" s="139">
        <v>140.45999999999998</v>
      </c>
      <c r="L18" s="139">
        <v>0</v>
      </c>
      <c r="M18" s="139">
        <v>0</v>
      </c>
      <c r="N18" s="139">
        <v>482.99699999999996</v>
      </c>
      <c r="O18" s="139">
        <v>38.869999999999997</v>
      </c>
      <c r="P18" s="139">
        <v>0</v>
      </c>
      <c r="Q18" s="139">
        <v>0</v>
      </c>
      <c r="R18" s="139">
        <v>0</v>
      </c>
      <c r="S18" s="139">
        <v>0</v>
      </c>
      <c r="T18" s="139">
        <v>38.869999999999997</v>
      </c>
      <c r="U18" s="139">
        <v>657.64300000000003</v>
      </c>
    </row>
    <row r="19" spans="1:21" s="111" customFormat="1" ht="38.25" customHeight="1" x14ac:dyDescent="0.4">
      <c r="A19" s="308" t="s">
        <v>89</v>
      </c>
      <c r="B19" s="309"/>
      <c r="C19" s="141">
        <v>1205.8060000000005</v>
      </c>
      <c r="D19" s="141">
        <v>0</v>
      </c>
      <c r="E19" s="141">
        <v>5.7299999999999995</v>
      </c>
      <c r="F19" s="141">
        <v>0</v>
      </c>
      <c r="G19" s="141">
        <v>125.19</v>
      </c>
      <c r="H19" s="141">
        <v>1205.8060000000005</v>
      </c>
      <c r="I19" s="141">
        <v>1013.0530000000001</v>
      </c>
      <c r="J19" s="141">
        <v>188.52999999999997</v>
      </c>
      <c r="K19" s="141">
        <v>384.33499999999998</v>
      </c>
      <c r="L19" s="141">
        <v>0</v>
      </c>
      <c r="M19" s="141">
        <v>0</v>
      </c>
      <c r="N19" s="141">
        <v>1201.5830000000001</v>
      </c>
      <c r="O19" s="141">
        <v>222.51200000000006</v>
      </c>
      <c r="P19" s="141">
        <v>0</v>
      </c>
      <c r="Q19" s="141">
        <v>0.08</v>
      </c>
      <c r="R19" s="141">
        <v>0</v>
      </c>
      <c r="S19" s="141">
        <v>1.665</v>
      </c>
      <c r="T19" s="141">
        <v>222.51200000000006</v>
      </c>
      <c r="U19" s="141">
        <v>2629.9010000000007</v>
      </c>
    </row>
    <row r="20" spans="1:21" ht="38.25" customHeight="1" x14ac:dyDescent="0.35">
      <c r="A20" s="171">
        <v>8</v>
      </c>
      <c r="B20" s="172" t="s">
        <v>91</v>
      </c>
      <c r="C20" s="139">
        <v>630.06999999999994</v>
      </c>
      <c r="D20" s="139">
        <v>0</v>
      </c>
      <c r="E20" s="139">
        <v>2.37</v>
      </c>
      <c r="F20" s="139">
        <v>0.43</v>
      </c>
      <c r="G20" s="139">
        <v>0.43</v>
      </c>
      <c r="H20" s="139">
        <v>629.64</v>
      </c>
      <c r="I20" s="139">
        <v>392.5750000000001</v>
      </c>
      <c r="J20" s="139">
        <v>2.42</v>
      </c>
      <c r="K20" s="139">
        <v>12.275</v>
      </c>
      <c r="L20" s="139">
        <v>0</v>
      </c>
      <c r="M20" s="139">
        <v>0</v>
      </c>
      <c r="N20" s="139">
        <v>394.99500000000012</v>
      </c>
      <c r="O20" s="139">
        <v>40.390000000000008</v>
      </c>
      <c r="P20" s="139">
        <v>0</v>
      </c>
      <c r="Q20" s="139">
        <v>0.15</v>
      </c>
      <c r="R20" s="139">
        <v>0.04</v>
      </c>
      <c r="S20" s="139">
        <v>0.04</v>
      </c>
      <c r="T20" s="139">
        <v>40.350000000000009</v>
      </c>
      <c r="U20" s="139">
        <v>1064.9850000000001</v>
      </c>
    </row>
    <row r="21" spans="1:21" ht="38.25" customHeight="1" x14ac:dyDescent="0.35">
      <c r="A21" s="171">
        <v>9</v>
      </c>
      <c r="B21" s="172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8.36</v>
      </c>
      <c r="H21" s="139">
        <v>22.51</v>
      </c>
      <c r="I21" s="139">
        <v>395.72699999999992</v>
      </c>
      <c r="J21" s="139">
        <v>0.67</v>
      </c>
      <c r="K21" s="139">
        <v>27.704000000000004</v>
      </c>
      <c r="L21" s="139">
        <v>0</v>
      </c>
      <c r="M21" s="139">
        <v>0</v>
      </c>
      <c r="N21" s="139">
        <v>396.39699999999993</v>
      </c>
      <c r="O21" s="139">
        <v>19.559999999999999</v>
      </c>
      <c r="P21" s="139">
        <v>0</v>
      </c>
      <c r="Q21" s="139">
        <v>0</v>
      </c>
      <c r="R21" s="139">
        <v>0.19</v>
      </c>
      <c r="S21" s="139">
        <v>0.19</v>
      </c>
      <c r="T21" s="139">
        <v>19.369999999999997</v>
      </c>
      <c r="U21" s="139">
        <v>438.27699999999993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117.11</v>
      </c>
      <c r="D22" s="139">
        <v>1.04</v>
      </c>
      <c r="E22" s="139">
        <v>1.8900000000000001</v>
      </c>
      <c r="F22" s="139">
        <v>0</v>
      </c>
      <c r="G22" s="139">
        <v>64.459999999999994</v>
      </c>
      <c r="H22" s="139">
        <v>118.15</v>
      </c>
      <c r="I22" s="139">
        <v>451.13000000000005</v>
      </c>
      <c r="J22" s="139">
        <v>0.35</v>
      </c>
      <c r="K22" s="139">
        <v>109.955</v>
      </c>
      <c r="L22" s="139">
        <v>0</v>
      </c>
      <c r="M22" s="139">
        <v>19.510000000000002</v>
      </c>
      <c r="N22" s="139">
        <v>451.48000000000008</v>
      </c>
      <c r="O22" s="139">
        <v>4.370000000000001</v>
      </c>
      <c r="P22" s="139">
        <v>0</v>
      </c>
      <c r="Q22" s="139">
        <v>0</v>
      </c>
      <c r="R22" s="139">
        <v>0</v>
      </c>
      <c r="S22" s="139">
        <v>12.75</v>
      </c>
      <c r="T22" s="139">
        <v>4.370000000000001</v>
      </c>
      <c r="U22" s="139">
        <v>574.00000000000011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430.64</v>
      </c>
      <c r="D23" s="139">
        <v>0</v>
      </c>
      <c r="E23" s="139">
        <v>8.35</v>
      </c>
      <c r="F23" s="139">
        <v>0</v>
      </c>
      <c r="G23" s="139">
        <v>0</v>
      </c>
      <c r="H23" s="139">
        <v>430.64</v>
      </c>
      <c r="I23" s="139">
        <v>83.85499999999999</v>
      </c>
      <c r="J23" s="139">
        <v>1.84</v>
      </c>
      <c r="K23" s="139">
        <v>8.8949999999999996</v>
      </c>
      <c r="L23" s="139">
        <v>0</v>
      </c>
      <c r="M23" s="139">
        <v>0</v>
      </c>
      <c r="N23" s="139">
        <v>85.694999999999993</v>
      </c>
      <c r="O23" s="139">
        <v>22.5</v>
      </c>
      <c r="P23" s="139">
        <v>0</v>
      </c>
      <c r="Q23" s="139">
        <v>0</v>
      </c>
      <c r="R23" s="139">
        <v>0</v>
      </c>
      <c r="S23" s="139">
        <v>3.26</v>
      </c>
      <c r="T23" s="139">
        <v>22.5</v>
      </c>
      <c r="U23" s="139">
        <v>538.83500000000004</v>
      </c>
    </row>
    <row r="24" spans="1:21" s="111" customFormat="1" ht="38.25" customHeight="1" x14ac:dyDescent="0.4">
      <c r="A24" s="313" t="s">
        <v>94</v>
      </c>
      <c r="B24" s="313"/>
      <c r="C24" s="141">
        <v>1200.33</v>
      </c>
      <c r="D24" s="141">
        <v>1.04</v>
      </c>
      <c r="E24" s="141">
        <v>12.61</v>
      </c>
      <c r="F24" s="141">
        <v>0.43</v>
      </c>
      <c r="G24" s="141">
        <v>73.25</v>
      </c>
      <c r="H24" s="141">
        <v>1200.94</v>
      </c>
      <c r="I24" s="141">
        <v>1323.287</v>
      </c>
      <c r="J24" s="141">
        <v>5.28</v>
      </c>
      <c r="K24" s="141">
        <v>158.82900000000001</v>
      </c>
      <c r="L24" s="141">
        <v>0</v>
      </c>
      <c r="M24" s="141">
        <v>19.510000000000002</v>
      </c>
      <c r="N24" s="141">
        <v>1328.567</v>
      </c>
      <c r="O24" s="141">
        <v>86.820000000000007</v>
      </c>
      <c r="P24" s="141">
        <v>0</v>
      </c>
      <c r="Q24" s="141">
        <v>0.15</v>
      </c>
      <c r="R24" s="141">
        <v>0.23</v>
      </c>
      <c r="S24" s="141">
        <v>16.240000000000002</v>
      </c>
      <c r="T24" s="141">
        <v>86.59</v>
      </c>
      <c r="U24" s="141">
        <v>2616.0970000000002</v>
      </c>
    </row>
    <row r="25" spans="1:21" s="145" customFormat="1" ht="38.25" customHeight="1" x14ac:dyDescent="0.4">
      <c r="A25" s="308" t="s">
        <v>95</v>
      </c>
      <c r="B25" s="309"/>
      <c r="C25" s="141">
        <v>5011.2060000000001</v>
      </c>
      <c r="D25" s="141">
        <v>1.8900000000000001</v>
      </c>
      <c r="E25" s="141">
        <v>19.34</v>
      </c>
      <c r="F25" s="141">
        <v>0.43</v>
      </c>
      <c r="G25" s="141">
        <v>230.488</v>
      </c>
      <c r="H25" s="141">
        <v>5012.6660000000002</v>
      </c>
      <c r="I25" s="141">
        <v>6256.4240000000009</v>
      </c>
      <c r="J25" s="141">
        <v>208.42999999999998</v>
      </c>
      <c r="K25" s="141">
        <v>760.67</v>
      </c>
      <c r="L25" s="141">
        <v>0</v>
      </c>
      <c r="M25" s="141">
        <v>19.510000000000002</v>
      </c>
      <c r="N25" s="141">
        <v>6464.8540000000003</v>
      </c>
      <c r="O25" s="141">
        <v>601.3420000000001</v>
      </c>
      <c r="P25" s="141">
        <v>3.18</v>
      </c>
      <c r="Q25" s="141">
        <v>5.2900000000000009</v>
      </c>
      <c r="R25" s="141">
        <v>0.23</v>
      </c>
      <c r="S25" s="141">
        <v>19.785</v>
      </c>
      <c r="T25" s="141">
        <v>604.29200000000014</v>
      </c>
      <c r="U25" s="141">
        <v>12081.812000000002</v>
      </c>
    </row>
    <row r="26" spans="1:21" ht="38.25" customHeight="1" x14ac:dyDescent="0.35">
      <c r="A26" s="171">
        <v>15</v>
      </c>
      <c r="B26" s="172" t="s">
        <v>96</v>
      </c>
      <c r="C26" s="139">
        <v>1519.4499999999998</v>
      </c>
      <c r="D26" s="139">
        <v>13.94</v>
      </c>
      <c r="E26" s="139">
        <v>82.86</v>
      </c>
      <c r="F26" s="139">
        <v>0</v>
      </c>
      <c r="G26" s="139">
        <v>0</v>
      </c>
      <c r="H26" s="139">
        <v>1533.3899999999999</v>
      </c>
      <c r="I26" s="139">
        <v>62.870000000000005</v>
      </c>
      <c r="J26" s="139">
        <v>1.1000000000000001</v>
      </c>
      <c r="K26" s="139">
        <v>4.92</v>
      </c>
      <c r="L26" s="139">
        <v>0</v>
      </c>
      <c r="M26" s="139">
        <v>0</v>
      </c>
      <c r="N26" s="139">
        <v>63.970000000000006</v>
      </c>
      <c r="O26" s="139">
        <v>16.11</v>
      </c>
      <c r="P26" s="139">
        <v>0</v>
      </c>
      <c r="Q26" s="139">
        <v>2.62</v>
      </c>
      <c r="R26" s="139">
        <v>0</v>
      </c>
      <c r="S26" s="139">
        <v>0</v>
      </c>
      <c r="T26" s="139">
        <v>16.11</v>
      </c>
      <c r="U26" s="139">
        <v>1613.4699999999998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5533.175000000002</v>
      </c>
      <c r="D27" s="139">
        <v>14.9</v>
      </c>
      <c r="E27" s="139">
        <v>93.935000000000016</v>
      </c>
      <c r="F27" s="139">
        <v>0</v>
      </c>
      <c r="G27" s="139">
        <v>0</v>
      </c>
      <c r="H27" s="139">
        <v>5548.0750000000016</v>
      </c>
      <c r="I27" s="139">
        <v>576.048</v>
      </c>
      <c r="J27" s="139">
        <v>2.2799999999999998</v>
      </c>
      <c r="K27" s="139">
        <v>22.33</v>
      </c>
      <c r="L27" s="139">
        <v>0</v>
      </c>
      <c r="M27" s="139">
        <v>0</v>
      </c>
      <c r="N27" s="139">
        <v>578.32799999999997</v>
      </c>
      <c r="O27" s="139">
        <v>33.49</v>
      </c>
      <c r="P27" s="139">
        <v>0</v>
      </c>
      <c r="Q27" s="139">
        <v>0</v>
      </c>
      <c r="R27" s="139">
        <v>0</v>
      </c>
      <c r="S27" s="139">
        <v>0</v>
      </c>
      <c r="T27" s="139">
        <v>33.49</v>
      </c>
      <c r="U27" s="139">
        <v>6159.8930000000018</v>
      </c>
    </row>
    <row r="28" spans="1:21" s="111" customFormat="1" ht="38.25" customHeight="1" x14ac:dyDescent="0.4">
      <c r="A28" s="313" t="s">
        <v>98</v>
      </c>
      <c r="B28" s="313"/>
      <c r="C28" s="141">
        <v>7052.6250000000018</v>
      </c>
      <c r="D28" s="141">
        <v>28.84</v>
      </c>
      <c r="E28" s="141">
        <v>176.79500000000002</v>
      </c>
      <c r="F28" s="141">
        <v>0</v>
      </c>
      <c r="G28" s="141">
        <v>0</v>
      </c>
      <c r="H28" s="141">
        <v>7081.465000000002</v>
      </c>
      <c r="I28" s="141">
        <v>638.91800000000001</v>
      </c>
      <c r="J28" s="141">
        <v>3.38</v>
      </c>
      <c r="K28" s="141">
        <v>27.25</v>
      </c>
      <c r="L28" s="141">
        <v>0</v>
      </c>
      <c r="M28" s="141">
        <v>0</v>
      </c>
      <c r="N28" s="141">
        <v>642.298</v>
      </c>
      <c r="O28" s="141">
        <v>49.6</v>
      </c>
      <c r="P28" s="141">
        <v>0</v>
      </c>
      <c r="Q28" s="141">
        <v>2.62</v>
      </c>
      <c r="R28" s="141">
        <v>0</v>
      </c>
      <c r="S28" s="141">
        <v>0</v>
      </c>
      <c r="T28" s="141">
        <v>49.6</v>
      </c>
      <c r="U28" s="141">
        <v>7773.3630000000012</v>
      </c>
    </row>
    <row r="29" spans="1:21" ht="38.25" customHeight="1" x14ac:dyDescent="0.35">
      <c r="A29" s="171">
        <v>17</v>
      </c>
      <c r="B29" s="172" t="s">
        <v>99</v>
      </c>
      <c r="C29" s="139">
        <v>4443.9880000000003</v>
      </c>
      <c r="D29" s="139">
        <v>3.34</v>
      </c>
      <c r="E29" s="139">
        <v>36.121000000000009</v>
      </c>
      <c r="F29" s="139">
        <v>0</v>
      </c>
      <c r="G29" s="139">
        <v>0</v>
      </c>
      <c r="H29" s="139">
        <v>4447.3280000000004</v>
      </c>
      <c r="I29" s="139">
        <v>121.00999999999999</v>
      </c>
      <c r="J29" s="139">
        <v>7.5</v>
      </c>
      <c r="K29" s="139">
        <v>31.85</v>
      </c>
      <c r="L29" s="139">
        <v>0</v>
      </c>
      <c r="M29" s="139">
        <v>0</v>
      </c>
      <c r="N29" s="139">
        <v>128.51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4633.5580000000009</v>
      </c>
    </row>
    <row r="30" spans="1:21" ht="38.25" customHeight="1" x14ac:dyDescent="0.35">
      <c r="A30" s="171">
        <v>18</v>
      </c>
      <c r="B30" s="172" t="s">
        <v>100</v>
      </c>
      <c r="C30" s="139">
        <v>3519.41</v>
      </c>
      <c r="D30" s="139">
        <v>37.369999999999997</v>
      </c>
      <c r="E30" s="139">
        <v>98.209000000000003</v>
      </c>
      <c r="F30" s="139">
        <v>0</v>
      </c>
      <c r="G30" s="139">
        <v>0</v>
      </c>
      <c r="H30" s="139">
        <v>3556.7799999999997</v>
      </c>
      <c r="I30" s="139">
        <v>21.497</v>
      </c>
      <c r="J30" s="139">
        <v>5.2</v>
      </c>
      <c r="K30" s="139">
        <v>5.2</v>
      </c>
      <c r="L30" s="139">
        <v>0</v>
      </c>
      <c r="M30" s="139">
        <v>0</v>
      </c>
      <c r="N30" s="139">
        <v>26.696999999999999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3606.7269999999999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4584.3010000000004</v>
      </c>
      <c r="D31" s="139">
        <v>3.0179999999999998</v>
      </c>
      <c r="E31" s="139">
        <v>110.41799999999999</v>
      </c>
      <c r="F31" s="139">
        <v>0</v>
      </c>
      <c r="G31" s="139">
        <v>0</v>
      </c>
      <c r="H31" s="139">
        <v>4587.3190000000004</v>
      </c>
      <c r="I31" s="139">
        <v>86.710000000000022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86.710000000000022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4688.8790000000008</v>
      </c>
    </row>
    <row r="32" spans="1:21" ht="38.25" customHeight="1" x14ac:dyDescent="0.35">
      <c r="A32" s="171">
        <v>20</v>
      </c>
      <c r="B32" s="172" t="s">
        <v>102</v>
      </c>
      <c r="C32" s="139">
        <v>2316.0657999999999</v>
      </c>
      <c r="D32" s="139">
        <v>4.5199999999999996</v>
      </c>
      <c r="E32" s="139">
        <v>24.750000000000004</v>
      </c>
      <c r="F32" s="139">
        <v>0</v>
      </c>
      <c r="G32" s="139">
        <v>0</v>
      </c>
      <c r="H32" s="139">
        <v>2320.5857999999998</v>
      </c>
      <c r="I32" s="139">
        <v>348.57600000000002</v>
      </c>
      <c r="J32" s="139">
        <v>10.46</v>
      </c>
      <c r="K32" s="139">
        <v>16.175000000000001</v>
      </c>
      <c r="L32" s="139">
        <v>0</v>
      </c>
      <c r="M32" s="139">
        <v>0</v>
      </c>
      <c r="N32" s="139">
        <v>359.036</v>
      </c>
      <c r="O32" s="139">
        <v>67.551999999999992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67.551999999999992</v>
      </c>
      <c r="U32" s="139">
        <v>2747.1738</v>
      </c>
    </row>
    <row r="33" spans="1:21" s="111" customFormat="1" ht="38.25" customHeight="1" x14ac:dyDescent="0.4">
      <c r="A33" s="313" t="s">
        <v>99</v>
      </c>
      <c r="B33" s="313"/>
      <c r="C33" s="141">
        <v>14863.764800000001</v>
      </c>
      <c r="D33" s="141">
        <v>48.24799999999999</v>
      </c>
      <c r="E33" s="141">
        <v>269.49799999999999</v>
      </c>
      <c r="F33" s="141">
        <v>0</v>
      </c>
      <c r="G33" s="141">
        <v>0</v>
      </c>
      <c r="H33" s="141">
        <v>14912.0128</v>
      </c>
      <c r="I33" s="141">
        <v>577.79300000000012</v>
      </c>
      <c r="J33" s="141">
        <v>23.16</v>
      </c>
      <c r="K33" s="141">
        <v>53.50500000000001</v>
      </c>
      <c r="L33" s="141">
        <v>0</v>
      </c>
      <c r="M33" s="141">
        <v>0</v>
      </c>
      <c r="N33" s="141">
        <v>600.95299999999997</v>
      </c>
      <c r="O33" s="141">
        <v>163.37199999999999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163.37199999999999</v>
      </c>
      <c r="U33" s="141">
        <v>15676.337800000001</v>
      </c>
    </row>
    <row r="34" spans="1:21" ht="38.25" customHeight="1" x14ac:dyDescent="0.35">
      <c r="A34" s="171">
        <v>21</v>
      </c>
      <c r="B34" s="172" t="s">
        <v>103</v>
      </c>
      <c r="C34" s="139">
        <v>4412.7900000000009</v>
      </c>
      <c r="D34" s="139">
        <v>4.7</v>
      </c>
      <c r="E34" s="139">
        <v>45.199999999999996</v>
      </c>
      <c r="F34" s="139">
        <v>0</v>
      </c>
      <c r="G34" s="139">
        <v>0</v>
      </c>
      <c r="H34" s="139">
        <v>4417.4900000000007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4417.4900000000007</v>
      </c>
    </row>
    <row r="35" spans="1:21" ht="38.25" customHeight="1" x14ac:dyDescent="0.35">
      <c r="A35" s="171">
        <v>22</v>
      </c>
      <c r="B35" s="172" t="s">
        <v>104</v>
      </c>
      <c r="C35" s="139">
        <v>6005.8199999999979</v>
      </c>
      <c r="D35" s="139">
        <v>23.36</v>
      </c>
      <c r="E35" s="139">
        <v>142.56</v>
      </c>
      <c r="F35" s="139">
        <v>0</v>
      </c>
      <c r="G35" s="139">
        <v>0</v>
      </c>
      <c r="H35" s="139">
        <v>6029.1799999999976</v>
      </c>
      <c r="I35" s="139">
        <v>4</v>
      </c>
      <c r="J35" s="139">
        <v>2.92</v>
      </c>
      <c r="K35" s="139">
        <v>2.92</v>
      </c>
      <c r="L35" s="139">
        <v>0</v>
      </c>
      <c r="M35" s="139">
        <v>0</v>
      </c>
      <c r="N35" s="139">
        <v>6.92</v>
      </c>
      <c r="O35" s="139">
        <v>44.53</v>
      </c>
      <c r="P35" s="139">
        <v>4.63</v>
      </c>
      <c r="Q35" s="139">
        <v>4.63</v>
      </c>
      <c r="R35" s="139">
        <v>0</v>
      </c>
      <c r="S35" s="139">
        <v>0</v>
      </c>
      <c r="T35" s="139">
        <v>49.160000000000004</v>
      </c>
      <c r="U35" s="139">
        <v>6085.2599999999975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3356.0899999999997</v>
      </c>
      <c r="D36" s="139">
        <v>19.809999999999999</v>
      </c>
      <c r="E36" s="139">
        <v>46.66</v>
      </c>
      <c r="F36" s="139">
        <v>0</v>
      </c>
      <c r="G36" s="139">
        <v>0</v>
      </c>
      <c r="H36" s="139">
        <v>3375.8999999999996</v>
      </c>
      <c r="I36" s="139">
        <v>25.05000000000004</v>
      </c>
      <c r="J36" s="139">
        <v>0</v>
      </c>
      <c r="K36" s="139">
        <v>0</v>
      </c>
      <c r="L36" s="139">
        <v>0</v>
      </c>
      <c r="M36" s="139">
        <v>0</v>
      </c>
      <c r="N36" s="139">
        <v>25.05000000000004</v>
      </c>
      <c r="O36" s="139">
        <v>2.2000000000000002</v>
      </c>
      <c r="P36" s="139">
        <v>3.42</v>
      </c>
      <c r="Q36" s="139">
        <v>3.42</v>
      </c>
      <c r="R36" s="139">
        <v>0</v>
      </c>
      <c r="S36" s="139">
        <v>0</v>
      </c>
      <c r="T36" s="139">
        <v>5.62</v>
      </c>
      <c r="U36" s="139">
        <v>3406.5699999999997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4757.779999999997</v>
      </c>
      <c r="D37" s="139">
        <v>15.34</v>
      </c>
      <c r="E37" s="139">
        <v>71.679999999999993</v>
      </c>
      <c r="F37" s="139">
        <v>0</v>
      </c>
      <c r="G37" s="139">
        <v>0</v>
      </c>
      <c r="H37" s="139">
        <v>4773.1199999999972</v>
      </c>
      <c r="I37" s="139">
        <v>12.430000000000001</v>
      </c>
      <c r="J37" s="139">
        <v>0</v>
      </c>
      <c r="K37" s="139">
        <v>12.43</v>
      </c>
      <c r="L37" s="139">
        <v>0</v>
      </c>
      <c r="M37" s="139">
        <v>0</v>
      </c>
      <c r="N37" s="139">
        <v>12.430000000000001</v>
      </c>
      <c r="O37" s="139">
        <v>1.04</v>
      </c>
      <c r="P37" s="139">
        <v>1</v>
      </c>
      <c r="Q37" s="139">
        <v>1</v>
      </c>
      <c r="R37" s="139">
        <v>0</v>
      </c>
      <c r="S37" s="139">
        <v>0</v>
      </c>
      <c r="T37" s="139">
        <v>2.04</v>
      </c>
      <c r="U37" s="139">
        <v>4787.5899999999974</v>
      </c>
    </row>
    <row r="38" spans="1:21" s="111" customFormat="1" ht="38.25" customHeight="1" x14ac:dyDescent="0.4">
      <c r="A38" s="313" t="s">
        <v>107</v>
      </c>
      <c r="B38" s="313"/>
      <c r="C38" s="141">
        <v>18532.479999999996</v>
      </c>
      <c r="D38" s="141">
        <v>63.209999999999994</v>
      </c>
      <c r="E38" s="141">
        <v>306.09999999999997</v>
      </c>
      <c r="F38" s="141">
        <v>0</v>
      </c>
      <c r="G38" s="141">
        <v>0</v>
      </c>
      <c r="H38" s="141">
        <v>18595.689999999995</v>
      </c>
      <c r="I38" s="141">
        <v>41.48000000000004</v>
      </c>
      <c r="J38" s="141">
        <v>2.92</v>
      </c>
      <c r="K38" s="141">
        <v>15.35</v>
      </c>
      <c r="L38" s="141">
        <v>0</v>
      </c>
      <c r="M38" s="141">
        <v>0</v>
      </c>
      <c r="N38" s="141">
        <v>44.400000000000041</v>
      </c>
      <c r="O38" s="141">
        <v>47.77</v>
      </c>
      <c r="P38" s="141">
        <v>9.0500000000000007</v>
      </c>
      <c r="Q38" s="141">
        <v>9.0500000000000007</v>
      </c>
      <c r="R38" s="141">
        <v>0</v>
      </c>
      <c r="S38" s="141">
        <v>0</v>
      </c>
      <c r="T38" s="141">
        <v>56.82</v>
      </c>
      <c r="U38" s="141">
        <v>18696.909999999996</v>
      </c>
    </row>
    <row r="39" spans="1:21" s="145" customFormat="1" ht="38.25" customHeight="1" x14ac:dyDescent="0.4">
      <c r="A39" s="313" t="s">
        <v>108</v>
      </c>
      <c r="B39" s="313"/>
      <c r="C39" s="141">
        <v>40448.8698</v>
      </c>
      <c r="D39" s="141">
        <v>140.29799999999997</v>
      </c>
      <c r="E39" s="141">
        <v>752.39300000000003</v>
      </c>
      <c r="F39" s="141">
        <v>0</v>
      </c>
      <c r="G39" s="141">
        <v>0</v>
      </c>
      <c r="H39" s="141">
        <v>40589.167800000003</v>
      </c>
      <c r="I39" s="141">
        <v>1258.1910000000003</v>
      </c>
      <c r="J39" s="141">
        <v>29.459999999999997</v>
      </c>
      <c r="K39" s="141">
        <v>96.105000000000004</v>
      </c>
      <c r="L39" s="141">
        <v>0</v>
      </c>
      <c r="M39" s="141">
        <v>0</v>
      </c>
      <c r="N39" s="141">
        <v>1287.6510000000001</v>
      </c>
      <c r="O39" s="141">
        <v>260.74200000000002</v>
      </c>
      <c r="P39" s="141">
        <v>9.0500000000000007</v>
      </c>
      <c r="Q39" s="141">
        <v>11.677</v>
      </c>
      <c r="R39" s="141">
        <v>0</v>
      </c>
      <c r="S39" s="141">
        <v>0</v>
      </c>
      <c r="T39" s="141">
        <v>269.79199999999997</v>
      </c>
      <c r="U39" s="141">
        <v>42146.610799999995</v>
      </c>
    </row>
    <row r="40" spans="1:21" ht="38.25" customHeight="1" x14ac:dyDescent="0.35">
      <c r="A40" s="171">
        <v>25</v>
      </c>
      <c r="B40" s="172" t="s">
        <v>109</v>
      </c>
      <c r="C40" s="139">
        <v>11157.263999999999</v>
      </c>
      <c r="D40" s="139">
        <v>30.9</v>
      </c>
      <c r="E40" s="139">
        <v>193.304</v>
      </c>
      <c r="F40" s="139">
        <v>0</v>
      </c>
      <c r="G40" s="139">
        <v>0</v>
      </c>
      <c r="H40" s="139">
        <v>11188.163999999999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11188.163999999999</v>
      </c>
    </row>
    <row r="41" spans="1:21" ht="38.25" customHeight="1" x14ac:dyDescent="0.35">
      <c r="A41" s="171">
        <v>26</v>
      </c>
      <c r="B41" s="172" t="s">
        <v>110</v>
      </c>
      <c r="C41" s="139">
        <v>7376.626999999995</v>
      </c>
      <c r="D41" s="139">
        <v>14.89</v>
      </c>
      <c r="E41" s="139">
        <v>319.83099999999996</v>
      </c>
      <c r="F41" s="139">
        <v>0</v>
      </c>
      <c r="G41" s="139">
        <v>0</v>
      </c>
      <c r="H41" s="139">
        <v>7391.5169999999953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7391.5169999999953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13687.198999999997</v>
      </c>
      <c r="D42" s="139">
        <v>28.25</v>
      </c>
      <c r="E42" s="139">
        <v>201.333</v>
      </c>
      <c r="F42" s="139">
        <v>0</v>
      </c>
      <c r="G42" s="139">
        <v>0</v>
      </c>
      <c r="H42" s="139">
        <v>13715.448999999997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39.019999999999996</v>
      </c>
      <c r="P42" s="139">
        <v>0</v>
      </c>
      <c r="Q42" s="139">
        <v>5.67</v>
      </c>
      <c r="R42" s="139">
        <v>0</v>
      </c>
      <c r="S42" s="139">
        <v>0</v>
      </c>
      <c r="T42" s="139">
        <v>39.019999999999996</v>
      </c>
      <c r="U42" s="139">
        <v>13754.468999999997</v>
      </c>
    </row>
    <row r="43" spans="1:21" ht="38.25" customHeight="1" x14ac:dyDescent="0.35">
      <c r="A43" s="171">
        <v>28</v>
      </c>
      <c r="B43" s="172" t="s">
        <v>112</v>
      </c>
      <c r="C43" s="139">
        <v>3943.9100000000008</v>
      </c>
      <c r="D43" s="139">
        <v>5.3</v>
      </c>
      <c r="E43" s="139">
        <v>83.171999999999997</v>
      </c>
      <c r="F43" s="139">
        <v>0</v>
      </c>
      <c r="G43" s="139">
        <v>0</v>
      </c>
      <c r="H43" s="139">
        <v>3949.2100000000009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3949.2100000000009</v>
      </c>
    </row>
    <row r="44" spans="1:21" s="111" customFormat="1" ht="38.25" customHeight="1" x14ac:dyDescent="0.4">
      <c r="A44" s="313" t="s">
        <v>109</v>
      </c>
      <c r="B44" s="313"/>
      <c r="C44" s="141">
        <v>36164.999999999993</v>
      </c>
      <c r="D44" s="141">
        <v>79.339999999999989</v>
      </c>
      <c r="E44" s="141">
        <v>797.64</v>
      </c>
      <c r="F44" s="141">
        <v>0</v>
      </c>
      <c r="G44" s="141">
        <v>0</v>
      </c>
      <c r="H44" s="141">
        <v>36244.339999999989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39.019999999999996</v>
      </c>
      <c r="P44" s="141">
        <v>0</v>
      </c>
      <c r="Q44" s="141">
        <v>5.67</v>
      </c>
      <c r="R44" s="141">
        <v>0</v>
      </c>
      <c r="S44" s="141">
        <v>0</v>
      </c>
      <c r="T44" s="141">
        <v>39.019999999999996</v>
      </c>
      <c r="U44" s="141">
        <v>36283.359999999993</v>
      </c>
    </row>
    <row r="45" spans="1:21" ht="38.25" customHeight="1" x14ac:dyDescent="0.35">
      <c r="A45" s="171">
        <v>29</v>
      </c>
      <c r="B45" s="172" t="s">
        <v>113</v>
      </c>
      <c r="C45" s="139">
        <v>8307.8421000000017</v>
      </c>
      <c r="D45" s="139">
        <v>31.080000000000002</v>
      </c>
      <c r="E45" s="139">
        <v>250.48000000000002</v>
      </c>
      <c r="F45" s="139">
        <v>6.46</v>
      </c>
      <c r="G45" s="139">
        <v>6.46</v>
      </c>
      <c r="H45" s="139">
        <v>8332.4621000000025</v>
      </c>
      <c r="I45" s="139">
        <v>6</v>
      </c>
      <c r="J45" s="139">
        <v>2.6599999999999997</v>
      </c>
      <c r="K45" s="139">
        <v>3.0799999999999996</v>
      </c>
      <c r="L45" s="139">
        <v>0</v>
      </c>
      <c r="M45" s="139">
        <v>0</v>
      </c>
      <c r="N45" s="139">
        <v>8.66</v>
      </c>
      <c r="O45" s="139">
        <v>14.75</v>
      </c>
      <c r="P45" s="139">
        <v>0</v>
      </c>
      <c r="Q45" s="139">
        <v>0.32</v>
      </c>
      <c r="R45" s="139">
        <v>0</v>
      </c>
      <c r="S45" s="139">
        <v>0</v>
      </c>
      <c r="T45" s="139">
        <v>14.75</v>
      </c>
      <c r="U45" s="139">
        <v>8355.8721000000023</v>
      </c>
    </row>
    <row r="46" spans="1:21" ht="38.25" customHeight="1" x14ac:dyDescent="0.35">
      <c r="A46" s="171">
        <v>30</v>
      </c>
      <c r="B46" s="172" t="s">
        <v>114</v>
      </c>
      <c r="C46" s="139">
        <v>7616.9050000000016</v>
      </c>
      <c r="D46" s="139">
        <v>45.1</v>
      </c>
      <c r="E46" s="139">
        <v>164.07999999999998</v>
      </c>
      <c r="F46" s="139">
        <v>0</v>
      </c>
      <c r="G46" s="139">
        <v>0</v>
      </c>
      <c r="H46" s="139">
        <v>7662.0050000000019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7662.0050000000019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8634.24</v>
      </c>
      <c r="D47" s="139">
        <v>26.11</v>
      </c>
      <c r="E47" s="139">
        <v>241.12</v>
      </c>
      <c r="F47" s="139">
        <v>0</v>
      </c>
      <c r="G47" s="139">
        <v>0</v>
      </c>
      <c r="H47" s="139">
        <v>8660.35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8663.51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7961.4389999999994</v>
      </c>
      <c r="D48" s="139">
        <v>147.63</v>
      </c>
      <c r="E48" s="139">
        <v>488.63900000000001</v>
      </c>
      <c r="F48" s="139">
        <v>0</v>
      </c>
      <c r="G48" s="139">
        <v>0</v>
      </c>
      <c r="H48" s="139">
        <v>8109.0689999999995</v>
      </c>
      <c r="I48" s="139">
        <v>0.505</v>
      </c>
      <c r="J48" s="139">
        <v>1.1299999999999999</v>
      </c>
      <c r="K48" s="139">
        <v>1.1299999999999999</v>
      </c>
      <c r="L48" s="139">
        <v>0</v>
      </c>
      <c r="M48" s="139">
        <v>0</v>
      </c>
      <c r="N48" s="139">
        <v>1.6349999999999998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8110.7039999999997</v>
      </c>
    </row>
    <row r="49" spans="1:21" s="111" customFormat="1" ht="38.25" customHeight="1" x14ac:dyDescent="0.4">
      <c r="A49" s="313" t="s">
        <v>117</v>
      </c>
      <c r="B49" s="313"/>
      <c r="C49" s="141">
        <v>32520.426100000004</v>
      </c>
      <c r="D49" s="141">
        <v>249.92000000000002</v>
      </c>
      <c r="E49" s="141">
        <v>1144.319</v>
      </c>
      <c r="F49" s="141">
        <v>6.46</v>
      </c>
      <c r="G49" s="141">
        <v>6.46</v>
      </c>
      <c r="H49" s="141">
        <v>32763.886100000003</v>
      </c>
      <c r="I49" s="141">
        <v>9.6349999999999998</v>
      </c>
      <c r="J49" s="141">
        <v>3.7899999999999996</v>
      </c>
      <c r="K49" s="141">
        <v>4.2099999999999991</v>
      </c>
      <c r="L49" s="141">
        <v>0</v>
      </c>
      <c r="M49" s="141">
        <v>0</v>
      </c>
      <c r="N49" s="141">
        <v>13.424999999999999</v>
      </c>
      <c r="O49" s="141">
        <v>14.78</v>
      </c>
      <c r="P49" s="141">
        <v>0</v>
      </c>
      <c r="Q49" s="141">
        <v>0.32</v>
      </c>
      <c r="R49" s="141">
        <v>0</v>
      </c>
      <c r="S49" s="141">
        <v>0</v>
      </c>
      <c r="T49" s="141">
        <v>14.78</v>
      </c>
      <c r="U49" s="141">
        <v>32792.091100000005</v>
      </c>
    </row>
    <row r="50" spans="1:21" s="145" customFormat="1" ht="38.25" customHeight="1" x14ac:dyDescent="0.4">
      <c r="A50" s="313" t="s">
        <v>118</v>
      </c>
      <c r="B50" s="313"/>
      <c r="C50" s="141">
        <v>68685.426099999997</v>
      </c>
      <c r="D50" s="141">
        <v>329.26</v>
      </c>
      <c r="E50" s="141">
        <v>1941.9589999999998</v>
      </c>
      <c r="F50" s="141">
        <v>6.46</v>
      </c>
      <c r="G50" s="141">
        <v>6.46</v>
      </c>
      <c r="H50" s="141">
        <v>69008.2261</v>
      </c>
      <c r="I50" s="141">
        <v>9.6349999999999998</v>
      </c>
      <c r="J50" s="141">
        <v>3.7899999999999996</v>
      </c>
      <c r="K50" s="141">
        <v>4.2099999999999991</v>
      </c>
      <c r="L50" s="141">
        <v>0</v>
      </c>
      <c r="M50" s="141">
        <v>0</v>
      </c>
      <c r="N50" s="141">
        <v>13.424999999999999</v>
      </c>
      <c r="O50" s="141">
        <v>53.8</v>
      </c>
      <c r="P50" s="141">
        <v>0</v>
      </c>
      <c r="Q50" s="141">
        <v>5.99</v>
      </c>
      <c r="R50" s="141">
        <v>0</v>
      </c>
      <c r="S50" s="141">
        <v>0</v>
      </c>
      <c r="T50" s="141">
        <v>53.8</v>
      </c>
      <c r="U50" s="141">
        <v>69075.451100000006</v>
      </c>
    </row>
    <row r="51" spans="1:21" s="146" customFormat="1" ht="38.25" customHeight="1" x14ac:dyDescent="0.4">
      <c r="A51" s="313" t="s">
        <v>119</v>
      </c>
      <c r="B51" s="313"/>
      <c r="C51" s="141">
        <f>C11+C15+C19+C24+C28+C33+C38+C44+C49</f>
        <v>114145.5019</v>
      </c>
      <c r="D51" s="141">
        <f t="shared" ref="D51:U51" si="0">D11+D15+D19+D24+D28+D33+D38+D44+D49</f>
        <v>471.44799999999998</v>
      </c>
      <c r="E51" s="141">
        <f t="shared" si="0"/>
        <v>2713.692</v>
      </c>
      <c r="F51" s="141">
        <f t="shared" si="0"/>
        <v>6.89</v>
      </c>
      <c r="G51" s="141">
        <f t="shared" si="0"/>
        <v>236.94800000000001</v>
      </c>
      <c r="H51" s="141">
        <f t="shared" si="0"/>
        <v>114610.05989999999</v>
      </c>
      <c r="I51" s="141">
        <f t="shared" si="0"/>
        <v>7524.2500000000009</v>
      </c>
      <c r="J51" s="141">
        <f t="shared" si="0"/>
        <v>241.67999999999995</v>
      </c>
      <c r="K51" s="141">
        <f t="shared" si="0"/>
        <v>860.9849999999999</v>
      </c>
      <c r="L51" s="141">
        <f t="shared" si="0"/>
        <v>0</v>
      </c>
      <c r="M51" s="141">
        <f t="shared" si="0"/>
        <v>19.510000000000002</v>
      </c>
      <c r="N51" s="141">
        <f t="shared" si="0"/>
        <v>7765.9299999999994</v>
      </c>
      <c r="O51" s="141">
        <f t="shared" si="0"/>
        <v>915.88400000000001</v>
      </c>
      <c r="P51" s="141">
        <f t="shared" si="0"/>
        <v>12.23</v>
      </c>
      <c r="Q51" s="141">
        <f t="shared" si="0"/>
        <v>22.957000000000001</v>
      </c>
      <c r="R51" s="141">
        <f t="shared" si="0"/>
        <v>0.23</v>
      </c>
      <c r="S51" s="141">
        <f t="shared" si="0"/>
        <v>19.785000000000004</v>
      </c>
      <c r="T51" s="141">
        <f t="shared" si="0"/>
        <v>927.88400000000001</v>
      </c>
      <c r="U51" s="141">
        <f t="shared" si="0"/>
        <v>123303.87389999999</v>
      </c>
    </row>
    <row r="52" spans="1:21" s="111" customFormat="1" ht="24" customHeight="1" x14ac:dyDescent="0.4">
      <c r="A52" s="115"/>
      <c r="B52" s="115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</row>
    <row r="53" spans="1:21" s="111" customFormat="1" ht="19.5" customHeight="1" x14ac:dyDescent="0.4">
      <c r="A53" s="115"/>
      <c r="B53" s="115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</row>
    <row r="54" spans="1:21" s="115" customFormat="1" ht="24.75" hidden="1" customHeight="1" x14ac:dyDescent="0.4">
      <c r="B54" s="209"/>
      <c r="C54" s="278" t="s">
        <v>54</v>
      </c>
      <c r="D54" s="278"/>
      <c r="E54" s="278"/>
      <c r="F54" s="278"/>
      <c r="G54" s="278"/>
      <c r="H54" s="118"/>
      <c r="I54" s="209"/>
      <c r="J54" s="209">
        <f>D51+J51+P51-F51-L51-R51</f>
        <v>718.23799999999994</v>
      </c>
      <c r="K54" s="209"/>
      <c r="L54" s="209"/>
      <c r="M54" s="209"/>
      <c r="N54" s="209"/>
      <c r="R54" s="209"/>
      <c r="U54" s="209"/>
    </row>
    <row r="55" spans="1:21" s="115" customFormat="1" ht="30" hidden="1" customHeight="1" x14ac:dyDescent="0.35">
      <c r="B55" s="209"/>
      <c r="C55" s="278" t="s">
        <v>55</v>
      </c>
      <c r="D55" s="278"/>
      <c r="E55" s="278"/>
      <c r="F55" s="278"/>
      <c r="G55" s="278"/>
      <c r="H55" s="119"/>
      <c r="I55" s="209"/>
      <c r="J55" s="209">
        <f>E51+K51+Q51-G51-M51-S51</f>
        <v>3321.3909999999996</v>
      </c>
      <c r="K55" s="209"/>
      <c r="L55" s="209"/>
      <c r="M55" s="209"/>
      <c r="N55" s="209"/>
      <c r="R55" s="209"/>
      <c r="T55" s="209"/>
    </row>
    <row r="56" spans="1:21" ht="33" hidden="1" customHeight="1" x14ac:dyDescent="0.5">
      <c r="C56" s="278" t="s">
        <v>56</v>
      </c>
      <c r="D56" s="278"/>
      <c r="E56" s="278"/>
      <c r="F56" s="278"/>
      <c r="G56" s="278"/>
      <c r="H56" s="119"/>
      <c r="I56" s="121"/>
      <c r="J56" s="209">
        <f>H51+N51+T51</f>
        <v>123303.87389999999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09"/>
      <c r="E57" s="209"/>
      <c r="F57" s="209"/>
      <c r="G57" s="209"/>
      <c r="H57" s="119"/>
      <c r="I57" s="121"/>
      <c r="J57" s="209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09"/>
      <c r="E58" s="209"/>
      <c r="F58" s="209"/>
      <c r="G58" s="209"/>
      <c r="H58" s="119"/>
      <c r="I58" s="121"/>
      <c r="J58" s="209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87" t="s">
        <v>57</v>
      </c>
      <c r="C59" s="287"/>
      <c r="D59" s="287"/>
      <c r="E59" s="287"/>
      <c r="F59" s="287"/>
      <c r="G59" s="153"/>
      <c r="H59" s="154"/>
      <c r="I59" s="155"/>
      <c r="J59" s="288"/>
      <c r="K59" s="286"/>
      <c r="L59" s="286"/>
      <c r="M59" s="169" t="e">
        <f>#REF!+'dec-2021'!J54</f>
        <v>#REF!</v>
      </c>
      <c r="N59" s="154"/>
      <c r="O59" s="154"/>
      <c r="P59" s="212"/>
      <c r="Q59" s="287" t="s">
        <v>58</v>
      </c>
      <c r="R59" s="287"/>
      <c r="S59" s="287"/>
      <c r="T59" s="287"/>
      <c r="U59" s="287"/>
    </row>
    <row r="60" spans="1:21" s="152" customFormat="1" ht="37.5" hidden="1" customHeight="1" x14ac:dyDescent="0.45">
      <c r="B60" s="287" t="s">
        <v>59</v>
      </c>
      <c r="C60" s="287"/>
      <c r="D60" s="287"/>
      <c r="E60" s="287"/>
      <c r="F60" s="287"/>
      <c r="G60" s="154"/>
      <c r="H60" s="153"/>
      <c r="I60" s="156"/>
      <c r="J60" s="157"/>
      <c r="K60" s="211"/>
      <c r="L60" s="157"/>
      <c r="M60" s="154"/>
      <c r="N60" s="153"/>
      <c r="O60" s="154"/>
      <c r="P60" s="212"/>
      <c r="Q60" s="287" t="s">
        <v>59</v>
      </c>
      <c r="R60" s="287"/>
      <c r="S60" s="287"/>
      <c r="T60" s="287"/>
      <c r="U60" s="287"/>
    </row>
    <row r="61" spans="1:21" s="152" customFormat="1" ht="37.5" hidden="1" customHeight="1" x14ac:dyDescent="0.45">
      <c r="I61" s="158"/>
      <c r="J61" s="286" t="s">
        <v>61</v>
      </c>
      <c r="K61" s="286"/>
      <c r="L61" s="286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86" t="s">
        <v>62</v>
      </c>
      <c r="K62" s="286"/>
      <c r="L62" s="286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="62" zoomScaleNormal="62" workbookViewId="0">
      <selection activeCell="J8" sqref="J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6"/>
    </row>
    <row r="2" spans="1:22" ht="15" customHeight="1" x14ac:dyDescent="0.35">
      <c r="A2" s="284" t="s">
        <v>70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</row>
    <row r="3" spans="1:22" ht="32.25" customHeight="1" x14ac:dyDescent="0.35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</row>
    <row r="4" spans="1:22" s="108" customFormat="1" ht="43.5" customHeight="1" x14ac:dyDescent="0.25">
      <c r="A4" s="281" t="s">
        <v>1</v>
      </c>
      <c r="B4" s="281" t="s">
        <v>2</v>
      </c>
      <c r="C4" s="281" t="s">
        <v>3</v>
      </c>
      <c r="D4" s="281"/>
      <c r="E4" s="281"/>
      <c r="F4" s="281"/>
      <c r="G4" s="281"/>
      <c r="H4" s="281"/>
      <c r="I4" s="281" t="s">
        <v>4</v>
      </c>
      <c r="J4" s="282"/>
      <c r="K4" s="282"/>
      <c r="L4" s="282"/>
      <c r="M4" s="282"/>
      <c r="N4" s="282"/>
      <c r="O4" s="281" t="s">
        <v>5</v>
      </c>
      <c r="P4" s="282"/>
      <c r="Q4" s="282"/>
      <c r="R4" s="282"/>
      <c r="S4" s="282"/>
      <c r="T4" s="282"/>
      <c r="U4" s="134"/>
    </row>
    <row r="5" spans="1:22" s="108" customFormat="1" ht="54.75" customHeight="1" x14ac:dyDescent="0.25">
      <c r="A5" s="282"/>
      <c r="B5" s="282"/>
      <c r="C5" s="281" t="s">
        <v>6</v>
      </c>
      <c r="D5" s="281" t="s">
        <v>7</v>
      </c>
      <c r="E5" s="281"/>
      <c r="F5" s="281" t="s">
        <v>8</v>
      </c>
      <c r="G5" s="281"/>
      <c r="H5" s="317" t="s">
        <v>9</v>
      </c>
      <c r="I5" s="281" t="s">
        <v>6</v>
      </c>
      <c r="J5" s="281" t="s">
        <v>7</v>
      </c>
      <c r="K5" s="281"/>
      <c r="L5" s="281" t="s">
        <v>8</v>
      </c>
      <c r="M5" s="281"/>
      <c r="N5" s="281" t="s">
        <v>9</v>
      </c>
      <c r="O5" s="281" t="s">
        <v>6</v>
      </c>
      <c r="P5" s="281" t="s">
        <v>7</v>
      </c>
      <c r="Q5" s="281"/>
      <c r="R5" s="281" t="s">
        <v>8</v>
      </c>
      <c r="S5" s="281"/>
      <c r="T5" s="281" t="s">
        <v>9</v>
      </c>
      <c r="U5" s="281" t="s">
        <v>10</v>
      </c>
    </row>
    <row r="6" spans="1:22" s="108" customFormat="1" ht="38.25" customHeight="1" x14ac:dyDescent="0.25">
      <c r="A6" s="282"/>
      <c r="B6" s="282"/>
      <c r="C6" s="282"/>
      <c r="D6" s="133" t="s">
        <v>11</v>
      </c>
      <c r="E6" s="133" t="s">
        <v>12</v>
      </c>
      <c r="F6" s="133" t="s">
        <v>11</v>
      </c>
      <c r="G6" s="133" t="s">
        <v>12</v>
      </c>
      <c r="H6" s="318"/>
      <c r="I6" s="282"/>
      <c r="J6" s="133" t="s">
        <v>11</v>
      </c>
      <c r="K6" s="133" t="s">
        <v>12</v>
      </c>
      <c r="L6" s="133" t="s">
        <v>11</v>
      </c>
      <c r="M6" s="133" t="s">
        <v>12</v>
      </c>
      <c r="N6" s="281"/>
      <c r="O6" s="282"/>
      <c r="P6" s="133" t="s">
        <v>11</v>
      </c>
      <c r="Q6" s="133" t="s">
        <v>12</v>
      </c>
      <c r="R6" s="133" t="s">
        <v>11</v>
      </c>
      <c r="S6" s="133" t="s">
        <v>12</v>
      </c>
      <c r="T6" s="281"/>
      <c r="U6" s="281"/>
    </row>
    <row r="7" spans="1:22" ht="55.5" customHeight="1" x14ac:dyDescent="0.35">
      <c r="A7" s="134">
        <v>1</v>
      </c>
      <c r="B7" s="134" t="s">
        <v>30</v>
      </c>
      <c r="C7" s="109">
        <v>6879.2699999999995</v>
      </c>
      <c r="D7" s="109">
        <v>24.08</v>
      </c>
      <c r="E7" s="109" t="e">
        <f>#REF!+braz!D7</f>
        <v>#REF!</v>
      </c>
      <c r="F7" s="109">
        <v>0</v>
      </c>
      <c r="G7" s="109" t="e">
        <f>#REF!+braz!F7</f>
        <v>#REF!</v>
      </c>
      <c r="H7" s="109">
        <f t="shared" ref="H7:H20" si="0">C7+(D7-F7)</f>
        <v>6903.3499999999995</v>
      </c>
      <c r="I7" s="109">
        <v>58.64</v>
      </c>
      <c r="J7" s="109">
        <v>0</v>
      </c>
      <c r="K7" s="109" t="e">
        <f>#REF!+braz!J7</f>
        <v>#REF!</v>
      </c>
      <c r="L7" s="109">
        <v>0</v>
      </c>
      <c r="M7" s="109" t="e">
        <f>#REF!+braz!L7</f>
        <v>#REF!</v>
      </c>
      <c r="N7" s="109">
        <f t="shared" ref="N7:N20" si="1">I7+(J7-L7)</f>
        <v>58.64</v>
      </c>
      <c r="O7" s="109">
        <v>0</v>
      </c>
      <c r="P7" s="109">
        <v>0</v>
      </c>
      <c r="Q7" s="109" t="e">
        <f>#REF!+braz!P7</f>
        <v>#REF!</v>
      </c>
      <c r="R7" s="109">
        <v>0</v>
      </c>
      <c r="S7" s="109" t="e">
        <f>#REF!+braz!R7</f>
        <v>#REF!</v>
      </c>
      <c r="T7" s="109">
        <f t="shared" ref="T7:T20" si="2">O7+(P7-R7)</f>
        <v>0</v>
      </c>
      <c r="U7" s="109">
        <f t="shared" ref="U7:U19" si="3">H7+N7+T7</f>
        <v>6961.99</v>
      </c>
    </row>
    <row r="8" spans="1:22" s="111" customFormat="1" ht="55.5" customHeight="1" x14ac:dyDescent="0.4">
      <c r="A8" s="134">
        <v>2</v>
      </c>
      <c r="B8" s="134" t="s">
        <v>31</v>
      </c>
      <c r="C8" s="109">
        <v>4890.3000000000011</v>
      </c>
      <c r="D8" s="109">
        <v>7.81</v>
      </c>
      <c r="E8" s="109" t="e">
        <f>#REF!+braz!D8</f>
        <v>#REF!</v>
      </c>
      <c r="F8" s="109">
        <v>0</v>
      </c>
      <c r="G8" s="109" t="e">
        <f>#REF!+braz!F8</f>
        <v>#REF!</v>
      </c>
      <c r="H8" s="109">
        <f t="shared" si="0"/>
        <v>4898.1100000000015</v>
      </c>
      <c r="I8" s="109">
        <v>512.21799999999996</v>
      </c>
      <c r="J8" s="109">
        <v>0.03</v>
      </c>
      <c r="K8" s="109" t="e">
        <f>#REF!+braz!J8</f>
        <v>#REF!</v>
      </c>
      <c r="L8" s="109">
        <v>0</v>
      </c>
      <c r="M8" s="109" t="e">
        <f>#REF!+braz!L8</f>
        <v>#REF!</v>
      </c>
      <c r="N8" s="109">
        <f t="shared" si="1"/>
        <v>512.24799999999993</v>
      </c>
      <c r="O8" s="109">
        <v>3.0000000000000004</v>
      </c>
      <c r="P8" s="109">
        <v>0.04</v>
      </c>
      <c r="Q8" s="109" t="e">
        <f>#REF!+braz!P8</f>
        <v>#REF!</v>
      </c>
      <c r="R8" s="109">
        <v>0</v>
      </c>
      <c r="S8" s="109" t="e">
        <f>#REF!+braz!R8</f>
        <v>#REF!</v>
      </c>
      <c r="T8" s="109">
        <f t="shared" si="2"/>
        <v>3.0400000000000005</v>
      </c>
      <c r="U8" s="109">
        <f t="shared" si="3"/>
        <v>5413.398000000001</v>
      </c>
      <c r="V8" s="132"/>
    </row>
    <row r="9" spans="1:22" s="111" customFormat="1" ht="55.5" customHeight="1" x14ac:dyDescent="0.4">
      <c r="A9" s="133"/>
      <c r="B9" s="133" t="s">
        <v>32</v>
      </c>
      <c r="C9" s="110">
        <f>SUM(C7:C8)</f>
        <v>11769.57</v>
      </c>
      <c r="D9" s="110">
        <f>D8+D7</f>
        <v>31.889999999999997</v>
      </c>
      <c r="E9" s="110" t="e">
        <f>#REF!+braz!D9</f>
        <v>#REF!</v>
      </c>
      <c r="F9" s="110">
        <f>F8+F7</f>
        <v>0</v>
      </c>
      <c r="G9" s="110" t="e">
        <f>#REF!+braz!F9</f>
        <v>#REF!</v>
      </c>
      <c r="H9" s="110">
        <f t="shared" si="0"/>
        <v>11801.46</v>
      </c>
      <c r="I9" s="110">
        <f>SUM(I7:I8)</f>
        <v>570.85799999999995</v>
      </c>
      <c r="J9" s="110">
        <f>J8+J7</f>
        <v>0.03</v>
      </c>
      <c r="K9" s="110" t="e">
        <f>#REF!+braz!J9</f>
        <v>#REF!</v>
      </c>
      <c r="L9" s="110">
        <f>L8+L7</f>
        <v>0</v>
      </c>
      <c r="M9" s="110" t="e">
        <f>#REF!+braz!L9</f>
        <v>#REF!</v>
      </c>
      <c r="N9" s="110">
        <f t="shared" si="1"/>
        <v>570.88799999999992</v>
      </c>
      <c r="O9" s="110">
        <f>SUM(O7:O8)</f>
        <v>3.0000000000000004</v>
      </c>
      <c r="P9" s="110">
        <f>P8+P7</f>
        <v>0.04</v>
      </c>
      <c r="Q9" s="110" t="e">
        <f>#REF!+braz!P9</f>
        <v>#REF!</v>
      </c>
      <c r="R9" s="110">
        <f>R8+R7</f>
        <v>0</v>
      </c>
      <c r="S9" s="110" t="e">
        <f>#REF!+braz!R9</f>
        <v>#REF!</v>
      </c>
      <c r="T9" s="110">
        <f t="shared" si="2"/>
        <v>3.0400000000000005</v>
      </c>
      <c r="U9" s="110">
        <f t="shared" si="3"/>
        <v>12375.387999999999</v>
      </c>
    </row>
    <row r="10" spans="1:22" ht="55.5" customHeight="1" x14ac:dyDescent="0.35">
      <c r="A10" s="134">
        <v>3</v>
      </c>
      <c r="B10" s="134" t="s">
        <v>33</v>
      </c>
      <c r="C10" s="109">
        <v>3543.9629999999997</v>
      </c>
      <c r="D10" s="109">
        <v>45.25</v>
      </c>
      <c r="E10" s="109" t="e">
        <f>#REF!+braz!D10</f>
        <v>#REF!</v>
      </c>
      <c r="F10" s="109">
        <v>0</v>
      </c>
      <c r="G10" s="109" t="e">
        <f>#REF!+braz!F10</f>
        <v>#REF!</v>
      </c>
      <c r="H10" s="109">
        <f t="shared" si="0"/>
        <v>3589.2129999999997</v>
      </c>
      <c r="I10" s="109">
        <v>52.24</v>
      </c>
      <c r="J10" s="109">
        <v>0</v>
      </c>
      <c r="K10" s="109" t="e">
        <f>#REF!+braz!J10</f>
        <v>#REF!</v>
      </c>
      <c r="L10" s="109">
        <v>0</v>
      </c>
      <c r="M10" s="109" t="e">
        <f>#REF!+braz!L10</f>
        <v>#REF!</v>
      </c>
      <c r="N10" s="109">
        <f t="shared" si="1"/>
        <v>52.24</v>
      </c>
      <c r="O10" s="109">
        <v>56.250000000000007</v>
      </c>
      <c r="P10" s="109">
        <v>0</v>
      </c>
      <c r="Q10" s="109" t="e">
        <f>#REF!+braz!P10</f>
        <v>#REF!</v>
      </c>
      <c r="R10" s="109">
        <v>0</v>
      </c>
      <c r="S10" s="109" t="e">
        <f>#REF!+braz!R10</f>
        <v>#REF!</v>
      </c>
      <c r="T10" s="109">
        <f t="shared" si="2"/>
        <v>56.250000000000007</v>
      </c>
      <c r="U10" s="109">
        <f t="shared" si="3"/>
        <v>3697.7029999999995</v>
      </c>
    </row>
    <row r="11" spans="1:22" ht="55.5" customHeight="1" x14ac:dyDescent="0.35">
      <c r="A11" s="134">
        <v>4</v>
      </c>
      <c r="B11" s="134" t="s">
        <v>64</v>
      </c>
      <c r="C11" s="109">
        <v>213.87100000000001</v>
      </c>
      <c r="D11" s="109">
        <v>4.7439999999999998</v>
      </c>
      <c r="E11" s="109" t="e">
        <f>#REF!+braz!D11</f>
        <v>#REF!</v>
      </c>
      <c r="F11" s="109">
        <v>0</v>
      </c>
      <c r="G11" s="109" t="e">
        <f>#REF!+braz!F11</f>
        <v>#REF!</v>
      </c>
      <c r="H11" s="109">
        <f t="shared" si="0"/>
        <v>218.61500000000001</v>
      </c>
      <c r="I11" s="109">
        <v>10.198</v>
      </c>
      <c r="J11" s="109">
        <v>5.5</v>
      </c>
      <c r="K11" s="109" t="e">
        <f>#REF!+braz!J11</f>
        <v>#REF!</v>
      </c>
      <c r="L11" s="109">
        <v>0</v>
      </c>
      <c r="M11" s="109" t="e">
        <f>#REF!+braz!L11</f>
        <v>#REF!</v>
      </c>
      <c r="N11" s="109">
        <f t="shared" si="1"/>
        <v>15.698</v>
      </c>
      <c r="O11" s="109">
        <v>0</v>
      </c>
      <c r="P11" s="109">
        <v>0</v>
      </c>
      <c r="Q11" s="109" t="e">
        <f>#REF!+braz!P11</f>
        <v>#REF!</v>
      </c>
      <c r="R11" s="109">
        <v>0</v>
      </c>
      <c r="S11" s="109" t="e">
        <f>#REF!+braz!R11</f>
        <v>#REF!</v>
      </c>
      <c r="T11" s="109">
        <f t="shared" si="2"/>
        <v>0</v>
      </c>
      <c r="U11" s="109">
        <f t="shared" si="3"/>
        <v>234.31300000000002</v>
      </c>
    </row>
    <row r="12" spans="1:22" s="111" customFormat="1" ht="55.5" customHeight="1" x14ac:dyDescent="0.4">
      <c r="A12" s="134">
        <v>5</v>
      </c>
      <c r="B12" s="134" t="s">
        <v>34</v>
      </c>
      <c r="C12" s="109">
        <v>3826.6110000000003</v>
      </c>
      <c r="D12" s="109">
        <v>3.26</v>
      </c>
      <c r="E12" s="109" t="e">
        <f>#REF!+braz!D12</f>
        <v>#REF!</v>
      </c>
      <c r="F12" s="109">
        <v>0</v>
      </c>
      <c r="G12" s="109" t="e">
        <f>#REF!+braz!F12</f>
        <v>#REF!</v>
      </c>
      <c r="H12" s="109">
        <f t="shared" si="0"/>
        <v>3829.8710000000005</v>
      </c>
      <c r="I12" s="109">
        <v>41.210000000000008</v>
      </c>
      <c r="J12" s="109">
        <v>0</v>
      </c>
      <c r="K12" s="109" t="e">
        <f>#REF!+braz!J12</f>
        <v>#REF!</v>
      </c>
      <c r="L12" s="109">
        <v>0</v>
      </c>
      <c r="M12" s="109" t="e">
        <f>#REF!+braz!L12</f>
        <v>#REF!</v>
      </c>
      <c r="N12" s="109">
        <f t="shared" si="1"/>
        <v>41.210000000000008</v>
      </c>
      <c r="O12" s="109">
        <v>72.55</v>
      </c>
      <c r="P12" s="109">
        <v>0</v>
      </c>
      <c r="Q12" s="109" t="e">
        <f>#REF!+braz!P12</f>
        <v>#REF!</v>
      </c>
      <c r="R12" s="109">
        <v>0</v>
      </c>
      <c r="S12" s="109" t="e">
        <f>#REF!+braz!R12</f>
        <v>#REF!</v>
      </c>
      <c r="T12" s="109">
        <f t="shared" si="2"/>
        <v>72.55</v>
      </c>
      <c r="U12" s="109">
        <f t="shared" si="3"/>
        <v>3943.6310000000008</v>
      </c>
      <c r="V12" s="132"/>
    </row>
    <row r="13" spans="1:22" ht="55.5" customHeight="1" x14ac:dyDescent="0.35">
      <c r="A13" s="134">
        <v>6</v>
      </c>
      <c r="B13" s="134" t="s">
        <v>35</v>
      </c>
      <c r="C13" s="109">
        <v>2383.5333000000001</v>
      </c>
      <c r="D13" s="109">
        <v>10.210000000000001</v>
      </c>
      <c r="E13" s="109" t="e">
        <f>#REF!+braz!D13</f>
        <v>#REF!</v>
      </c>
      <c r="F13" s="109">
        <v>0</v>
      </c>
      <c r="G13" s="109" t="e">
        <f>#REF!+braz!F13</f>
        <v>#REF!</v>
      </c>
      <c r="H13" s="109">
        <f t="shared" si="0"/>
        <v>2393.7433000000001</v>
      </c>
      <c r="I13" s="109">
        <v>143.50399999999996</v>
      </c>
      <c r="J13" s="109">
        <v>0.06</v>
      </c>
      <c r="K13" s="109" t="e">
        <f>#REF!+braz!J13</f>
        <v>#REF!</v>
      </c>
      <c r="L13" s="109">
        <v>0</v>
      </c>
      <c r="M13" s="109" t="e">
        <f>#REF!+braz!L13</f>
        <v>#REF!</v>
      </c>
      <c r="N13" s="109">
        <f t="shared" si="1"/>
        <v>143.56399999999996</v>
      </c>
      <c r="O13" s="109">
        <v>18.149999999999999</v>
      </c>
      <c r="P13" s="109">
        <v>0</v>
      </c>
      <c r="Q13" s="109" t="e">
        <f>#REF!+braz!P13</f>
        <v>#REF!</v>
      </c>
      <c r="R13" s="109">
        <v>0</v>
      </c>
      <c r="S13" s="109" t="e">
        <f>#REF!+braz!R13</f>
        <v>#REF!</v>
      </c>
      <c r="T13" s="109">
        <f t="shared" si="2"/>
        <v>18.149999999999999</v>
      </c>
      <c r="U13" s="109">
        <f t="shared" si="3"/>
        <v>2555.4573</v>
      </c>
    </row>
    <row r="14" spans="1:22" s="111" customFormat="1" ht="55.5" customHeight="1" x14ac:dyDescent="0.4">
      <c r="A14" s="133"/>
      <c r="B14" s="133" t="s">
        <v>36</v>
      </c>
      <c r="C14" s="110">
        <f>SUM(C10:C13)</f>
        <v>9967.9782999999989</v>
      </c>
      <c r="D14" s="110">
        <f>D13+D12+D11+D10</f>
        <v>63.463999999999999</v>
      </c>
      <c r="E14" s="110" t="e">
        <f>#REF!+braz!D14</f>
        <v>#REF!</v>
      </c>
      <c r="F14" s="110">
        <f>F13+F12+F11+F10</f>
        <v>0</v>
      </c>
      <c r="G14" s="110" t="e">
        <f>#REF!+braz!F14</f>
        <v>#REF!</v>
      </c>
      <c r="H14" s="110">
        <f t="shared" si="0"/>
        <v>10031.442299999999</v>
      </c>
      <c r="I14" s="110">
        <f>SUM(I10:I13)</f>
        <v>247.15199999999999</v>
      </c>
      <c r="J14" s="110">
        <f>J13+J12+J11+J10</f>
        <v>5.56</v>
      </c>
      <c r="K14" s="110" t="e">
        <f>#REF!+braz!J14</f>
        <v>#REF!</v>
      </c>
      <c r="L14" s="110">
        <f>L13+L12+L11+L10</f>
        <v>0</v>
      </c>
      <c r="M14" s="110" t="e">
        <f>#REF!+braz!L14</f>
        <v>#REF!</v>
      </c>
      <c r="N14" s="110">
        <f t="shared" si="1"/>
        <v>252.71199999999999</v>
      </c>
      <c r="O14" s="110">
        <f>SUM(O10:O13)</f>
        <v>146.95000000000002</v>
      </c>
      <c r="P14" s="110">
        <f>P13+P12+P11+P10</f>
        <v>0</v>
      </c>
      <c r="Q14" s="110" t="e">
        <f>#REF!+braz!P14</f>
        <v>#REF!</v>
      </c>
      <c r="R14" s="110">
        <f>R13+R12+R11+R10</f>
        <v>0</v>
      </c>
      <c r="S14" s="110" t="e">
        <f>#REF!+braz!R14</f>
        <v>#REF!</v>
      </c>
      <c r="T14" s="110">
        <f t="shared" si="2"/>
        <v>146.95000000000002</v>
      </c>
      <c r="U14" s="110">
        <f t="shared" si="3"/>
        <v>10431.104299999999</v>
      </c>
    </row>
    <row r="15" spans="1:22" ht="55.5" customHeight="1" x14ac:dyDescent="0.35">
      <c r="A15" s="134">
        <v>7</v>
      </c>
      <c r="B15" s="134" t="s">
        <v>37</v>
      </c>
      <c r="C15" s="109">
        <v>4091.67</v>
      </c>
      <c r="D15" s="109">
        <v>6.53</v>
      </c>
      <c r="E15" s="109" t="e">
        <f>#REF!+braz!D15</f>
        <v>#REF!</v>
      </c>
      <c r="F15" s="109">
        <v>0</v>
      </c>
      <c r="G15" s="109" t="e">
        <f>#REF!+braz!F15</f>
        <v>#REF!</v>
      </c>
      <c r="H15" s="109">
        <f t="shared" si="0"/>
        <v>4098.2</v>
      </c>
      <c r="I15" s="109">
        <v>7.6</v>
      </c>
      <c r="J15" s="109">
        <v>0</v>
      </c>
      <c r="K15" s="109" t="e">
        <f>#REF!+braz!J15</f>
        <v>#REF!</v>
      </c>
      <c r="L15" s="109">
        <v>0</v>
      </c>
      <c r="M15" s="109" t="e">
        <f>#REF!+braz!L15</f>
        <v>#REF!</v>
      </c>
      <c r="N15" s="109">
        <f t="shared" si="1"/>
        <v>7.6</v>
      </c>
      <c r="O15" s="109">
        <v>0</v>
      </c>
      <c r="P15" s="109">
        <v>0</v>
      </c>
      <c r="Q15" s="109" t="e">
        <f>#REF!+braz!P15</f>
        <v>#REF!</v>
      </c>
      <c r="R15" s="109">
        <v>0</v>
      </c>
      <c r="S15" s="109" t="e">
        <f>#REF!+braz!R15</f>
        <v>#REF!</v>
      </c>
      <c r="T15" s="109">
        <f t="shared" si="2"/>
        <v>0</v>
      </c>
      <c r="U15" s="109">
        <f t="shared" si="3"/>
        <v>4105.8</v>
      </c>
    </row>
    <row r="16" spans="1:22" ht="55.5" customHeight="1" x14ac:dyDescent="0.35">
      <c r="A16" s="134">
        <v>8</v>
      </c>
      <c r="B16" s="134" t="s">
        <v>38</v>
      </c>
      <c r="C16" s="109">
        <v>5333.3699999999981</v>
      </c>
      <c r="D16" s="109">
        <v>13.71</v>
      </c>
      <c r="E16" s="109" t="e">
        <f>#REF!+braz!D16</f>
        <v>#REF!</v>
      </c>
      <c r="F16" s="109">
        <v>0</v>
      </c>
      <c r="G16" s="109" t="e">
        <f>#REF!+braz!F16</f>
        <v>#REF!</v>
      </c>
      <c r="H16" s="109">
        <f t="shared" si="0"/>
        <v>5347.0799999999981</v>
      </c>
      <c r="I16" s="109">
        <v>4</v>
      </c>
      <c r="J16" s="109">
        <v>0</v>
      </c>
      <c r="K16" s="109" t="e">
        <f>#REF!+braz!J16</f>
        <v>#REF!</v>
      </c>
      <c r="L16" s="109">
        <v>0</v>
      </c>
      <c r="M16" s="109" t="e">
        <f>#REF!+braz!L16</f>
        <v>#REF!</v>
      </c>
      <c r="N16" s="109">
        <f t="shared" si="1"/>
        <v>4</v>
      </c>
      <c r="O16" s="109">
        <v>0.03</v>
      </c>
      <c r="P16" s="109">
        <v>0</v>
      </c>
      <c r="Q16" s="109" t="e">
        <f>#REF!+braz!P16</f>
        <v>#REF!</v>
      </c>
      <c r="R16" s="109">
        <v>0</v>
      </c>
      <c r="S16" s="109" t="e">
        <f>#REF!+braz!R16</f>
        <v>#REF!</v>
      </c>
      <c r="T16" s="109">
        <f t="shared" si="2"/>
        <v>0.03</v>
      </c>
      <c r="U16" s="109">
        <f t="shared" si="3"/>
        <v>5351.1099999999979</v>
      </c>
    </row>
    <row r="17" spans="1:22" s="111" customFormat="1" ht="55.5" customHeight="1" x14ac:dyDescent="0.4">
      <c r="A17" s="134">
        <v>9</v>
      </c>
      <c r="B17" s="134" t="s">
        <v>39</v>
      </c>
      <c r="C17" s="109">
        <v>2611.6</v>
      </c>
      <c r="D17" s="109">
        <v>15.77</v>
      </c>
      <c r="E17" s="109" t="e">
        <f>#REF!+braz!D17</f>
        <v>#REF!</v>
      </c>
      <c r="F17" s="109">
        <v>0</v>
      </c>
      <c r="G17" s="109" t="e">
        <f>#REF!+braz!F17</f>
        <v>#REF!</v>
      </c>
      <c r="H17" s="109">
        <f t="shared" si="0"/>
        <v>2627.37</v>
      </c>
      <c r="I17" s="109">
        <v>155.65000000000003</v>
      </c>
      <c r="J17" s="109">
        <v>0</v>
      </c>
      <c r="K17" s="109" t="e">
        <f>#REF!+braz!J17</f>
        <v>#REF!</v>
      </c>
      <c r="L17" s="109">
        <v>0</v>
      </c>
      <c r="M17" s="109" t="e">
        <f>#REF!+braz!L17</f>
        <v>#REF!</v>
      </c>
      <c r="N17" s="109">
        <f t="shared" si="1"/>
        <v>155.65000000000003</v>
      </c>
      <c r="O17" s="109">
        <v>2.2000000000000002</v>
      </c>
      <c r="P17" s="109">
        <v>0</v>
      </c>
      <c r="Q17" s="109" t="e">
        <f>#REF!+braz!P17</f>
        <v>#REF!</v>
      </c>
      <c r="R17" s="109">
        <v>0</v>
      </c>
      <c r="S17" s="109" t="e">
        <f>#REF!+braz!R17</f>
        <v>#REF!</v>
      </c>
      <c r="T17" s="109">
        <f t="shared" si="2"/>
        <v>2.2000000000000002</v>
      </c>
      <c r="U17" s="109">
        <f t="shared" si="3"/>
        <v>2785.22</v>
      </c>
      <c r="V17" s="132"/>
    </row>
    <row r="18" spans="1:22" s="111" customFormat="1" ht="55.5" customHeight="1" x14ac:dyDescent="0.4">
      <c r="A18" s="134">
        <v>10</v>
      </c>
      <c r="B18" s="134" t="s">
        <v>40</v>
      </c>
      <c r="C18" s="109">
        <v>4571.1900000000005</v>
      </c>
      <c r="D18" s="109">
        <v>8.67</v>
      </c>
      <c r="E18" s="109" t="e">
        <f>#REF!+braz!D18</f>
        <v>#REF!</v>
      </c>
      <c r="F18" s="109">
        <v>0</v>
      </c>
      <c r="G18" s="109" t="e">
        <f>#REF!+braz!F18</f>
        <v>#REF!</v>
      </c>
      <c r="H18" s="109">
        <f t="shared" si="0"/>
        <v>4579.8600000000006</v>
      </c>
      <c r="I18" s="109">
        <v>6.92</v>
      </c>
      <c r="J18" s="109">
        <v>0</v>
      </c>
      <c r="K18" s="109" t="e">
        <f>#REF!+braz!J18</f>
        <v>#REF!</v>
      </c>
      <c r="L18" s="109">
        <v>0</v>
      </c>
      <c r="M18" s="109" t="e">
        <f>#REF!+braz!L18</f>
        <v>#REF!</v>
      </c>
      <c r="N18" s="109">
        <f t="shared" si="1"/>
        <v>6.92</v>
      </c>
      <c r="O18" s="109">
        <v>1.04</v>
      </c>
      <c r="P18" s="109">
        <v>0</v>
      </c>
      <c r="Q18" s="109" t="e">
        <f>#REF!+braz!P18</f>
        <v>#REF!</v>
      </c>
      <c r="R18" s="109">
        <v>0</v>
      </c>
      <c r="S18" s="109" t="e">
        <f>#REF!+braz!R18</f>
        <v>#REF!</v>
      </c>
      <c r="T18" s="109">
        <f t="shared" si="2"/>
        <v>1.04</v>
      </c>
      <c r="U18" s="109">
        <f t="shared" si="3"/>
        <v>4587.8200000000006</v>
      </c>
      <c r="V18" s="132"/>
    </row>
    <row r="19" spans="1:22" s="111" customFormat="1" ht="55.5" customHeight="1" x14ac:dyDescent="0.4">
      <c r="A19" s="133"/>
      <c r="B19" s="133" t="s">
        <v>41</v>
      </c>
      <c r="C19" s="110">
        <f>SUM(C15:C18)</f>
        <v>16607.829999999998</v>
      </c>
      <c r="D19" s="110">
        <f>SUM(D15:D18)</f>
        <v>44.680000000000007</v>
      </c>
      <c r="E19" s="110" t="e">
        <f>#REF!+braz!D19</f>
        <v>#REF!</v>
      </c>
      <c r="F19" s="110">
        <f>SUM(F15:F18)</f>
        <v>0</v>
      </c>
      <c r="G19" s="110" t="e">
        <f>#REF!+braz!F19</f>
        <v>#REF!</v>
      </c>
      <c r="H19" s="110">
        <f t="shared" si="0"/>
        <v>16652.509999999998</v>
      </c>
      <c r="I19" s="110">
        <f>SUM(I15:I18)</f>
        <v>174.17000000000002</v>
      </c>
      <c r="J19" s="110">
        <f>SUM(J15:J18)</f>
        <v>0</v>
      </c>
      <c r="K19" s="110" t="e">
        <f>#REF!+braz!J19</f>
        <v>#REF!</v>
      </c>
      <c r="L19" s="110">
        <f>SUM(L15:L18)</f>
        <v>0</v>
      </c>
      <c r="M19" s="110" t="e">
        <f>#REF!+braz!L19</f>
        <v>#REF!</v>
      </c>
      <c r="N19" s="110">
        <f t="shared" si="1"/>
        <v>174.17000000000002</v>
      </c>
      <c r="O19" s="110">
        <f>SUM(O15:O18)</f>
        <v>3.27</v>
      </c>
      <c r="P19" s="110">
        <f>SUM(P15:P18)</f>
        <v>0</v>
      </c>
      <c r="Q19" s="110" t="e">
        <f>#REF!+braz!P19</f>
        <v>#REF!</v>
      </c>
      <c r="R19" s="110">
        <f>SUM(R15:R18)</f>
        <v>0</v>
      </c>
      <c r="S19" s="110" t="e">
        <f>#REF!+braz!R19</f>
        <v>#REF!</v>
      </c>
      <c r="T19" s="110">
        <f t="shared" si="2"/>
        <v>3.27</v>
      </c>
      <c r="U19" s="110">
        <f t="shared" si="3"/>
        <v>16829.949999999997</v>
      </c>
    </row>
    <row r="20" spans="1:22" s="111" customFormat="1" ht="55.5" customHeight="1" x14ac:dyDescent="0.4">
      <c r="A20" s="133"/>
      <c r="B20" s="133" t="s">
        <v>42</v>
      </c>
      <c r="C20" s="110">
        <f>C19+C14+C9</f>
        <v>38345.378299999997</v>
      </c>
      <c r="D20" s="110">
        <f>D19+D14+D9</f>
        <v>140.03399999999999</v>
      </c>
      <c r="E20" s="110" t="e">
        <f>#REF!+braz!D20</f>
        <v>#REF!</v>
      </c>
      <c r="F20" s="110">
        <f>F19+F14+F9</f>
        <v>0</v>
      </c>
      <c r="G20" s="110" t="e">
        <f>#REF!+braz!F20</f>
        <v>#REF!</v>
      </c>
      <c r="H20" s="110">
        <f t="shared" si="0"/>
        <v>38485.412299999996</v>
      </c>
      <c r="I20" s="110">
        <f>I19+I14+I9</f>
        <v>992.18</v>
      </c>
      <c r="J20" s="110">
        <f>J19+J14+J9</f>
        <v>5.59</v>
      </c>
      <c r="K20" s="110" t="e">
        <f>#REF!+braz!J20</f>
        <v>#REF!</v>
      </c>
      <c r="L20" s="110">
        <f>L19+L14+L9</f>
        <v>0</v>
      </c>
      <c r="M20" s="110" t="e">
        <f>#REF!+braz!L20</f>
        <v>#REF!</v>
      </c>
      <c r="N20" s="110">
        <f t="shared" si="1"/>
        <v>997.77</v>
      </c>
      <c r="O20" s="110">
        <f>O19+O14+O9</f>
        <v>153.22000000000003</v>
      </c>
      <c r="P20" s="110">
        <f>P19+P14+P9</f>
        <v>0.04</v>
      </c>
      <c r="Q20" s="110" t="e">
        <f>#REF!+braz!P20</f>
        <v>#REF!</v>
      </c>
      <c r="R20" s="110">
        <f>R19+R14+R9</f>
        <v>0</v>
      </c>
      <c r="S20" s="110" t="e">
        <f>#REF!+braz!R20</f>
        <v>#REF!</v>
      </c>
      <c r="T20" s="110">
        <f t="shared" si="2"/>
        <v>153.26000000000002</v>
      </c>
      <c r="U20" s="110">
        <f>U19+U14+U9</f>
        <v>39636.442299999995</v>
      </c>
    </row>
    <row r="21" spans="1:22" x14ac:dyDescent="0.35">
      <c r="I21" s="131">
        <f>261.37+72.57</f>
        <v>333.94</v>
      </c>
      <c r="P21" s="107"/>
      <c r="Q21" s="107"/>
      <c r="R21" s="107"/>
      <c r="S21" s="108"/>
      <c r="T21" s="107"/>
      <c r="U21" s="107"/>
    </row>
    <row r="22" spans="1:22" x14ac:dyDescent="0.35">
      <c r="I22" s="131">
        <f>78.17+53.54</f>
        <v>131.71</v>
      </c>
      <c r="P22" s="107"/>
      <c r="Q22" s="107"/>
      <c r="R22" s="107"/>
      <c r="S22" s="108"/>
      <c r="T22" s="107"/>
      <c r="U22" s="107"/>
    </row>
  </sheetData>
  <mergeCells count="20"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8" scale="4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4" zoomScaleNormal="100" workbookViewId="0">
      <selection activeCell="F8" sqref="F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6"/>
    </row>
    <row r="2" spans="1:22" ht="15" customHeight="1" x14ac:dyDescent="0.35">
      <c r="A2" s="284" t="s">
        <v>70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</row>
    <row r="3" spans="1:22" ht="32.25" customHeight="1" x14ac:dyDescent="0.35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</row>
    <row r="4" spans="1:22" s="108" customFormat="1" ht="43.5" customHeight="1" x14ac:dyDescent="0.25">
      <c r="A4" s="281" t="s">
        <v>1</v>
      </c>
      <c r="B4" s="281" t="s">
        <v>2</v>
      </c>
      <c r="C4" s="281" t="s">
        <v>3</v>
      </c>
      <c r="D4" s="281"/>
      <c r="E4" s="281"/>
      <c r="F4" s="281"/>
      <c r="G4" s="281"/>
      <c r="H4" s="281"/>
      <c r="I4" s="281" t="s">
        <v>4</v>
      </c>
      <c r="J4" s="282"/>
      <c r="K4" s="282"/>
      <c r="L4" s="282"/>
      <c r="M4" s="282"/>
      <c r="N4" s="282"/>
      <c r="O4" s="281" t="s">
        <v>5</v>
      </c>
      <c r="P4" s="282"/>
      <c r="Q4" s="282"/>
      <c r="R4" s="282"/>
      <c r="S4" s="282"/>
      <c r="T4" s="282"/>
      <c r="U4" s="136"/>
    </row>
    <row r="5" spans="1:22" s="108" customFormat="1" ht="54.75" customHeight="1" x14ac:dyDescent="0.25">
      <c r="A5" s="282"/>
      <c r="B5" s="282"/>
      <c r="C5" s="281" t="s">
        <v>6</v>
      </c>
      <c r="D5" s="281" t="s">
        <v>7</v>
      </c>
      <c r="E5" s="281"/>
      <c r="F5" s="281" t="s">
        <v>8</v>
      </c>
      <c r="G5" s="281"/>
      <c r="H5" s="317" t="s">
        <v>9</v>
      </c>
      <c r="I5" s="281" t="s">
        <v>6</v>
      </c>
      <c r="J5" s="281" t="s">
        <v>7</v>
      </c>
      <c r="K5" s="281"/>
      <c r="L5" s="281" t="s">
        <v>8</v>
      </c>
      <c r="M5" s="281"/>
      <c r="N5" s="281" t="s">
        <v>9</v>
      </c>
      <c r="O5" s="281" t="s">
        <v>6</v>
      </c>
      <c r="P5" s="281" t="s">
        <v>7</v>
      </c>
      <c r="Q5" s="281"/>
      <c r="R5" s="281" t="s">
        <v>8</v>
      </c>
      <c r="S5" s="281"/>
      <c r="T5" s="281" t="s">
        <v>9</v>
      </c>
      <c r="U5" s="281" t="s">
        <v>10</v>
      </c>
    </row>
    <row r="6" spans="1:22" s="108" customFormat="1" ht="38.25" customHeight="1" x14ac:dyDescent="0.25">
      <c r="A6" s="282"/>
      <c r="B6" s="282"/>
      <c r="C6" s="282"/>
      <c r="D6" s="135" t="s">
        <v>11</v>
      </c>
      <c r="E6" s="135" t="s">
        <v>12</v>
      </c>
      <c r="F6" s="135" t="s">
        <v>11</v>
      </c>
      <c r="G6" s="135" t="s">
        <v>12</v>
      </c>
      <c r="H6" s="318"/>
      <c r="I6" s="282"/>
      <c r="J6" s="135" t="s">
        <v>11</v>
      </c>
      <c r="K6" s="135" t="s">
        <v>12</v>
      </c>
      <c r="L6" s="135" t="s">
        <v>11</v>
      </c>
      <c r="M6" s="135" t="s">
        <v>12</v>
      </c>
      <c r="N6" s="281"/>
      <c r="O6" s="282"/>
      <c r="P6" s="135" t="s">
        <v>11</v>
      </c>
      <c r="Q6" s="135" t="s">
        <v>12</v>
      </c>
      <c r="R6" s="135" t="s">
        <v>11</v>
      </c>
      <c r="S6" s="135" t="s">
        <v>12</v>
      </c>
      <c r="T6" s="281"/>
      <c r="U6" s="281"/>
    </row>
    <row r="7" spans="1:22" ht="86.25" customHeight="1" x14ac:dyDescent="0.35">
      <c r="A7" s="136">
        <v>1</v>
      </c>
      <c r="B7" s="136" t="s">
        <v>30</v>
      </c>
      <c r="C7" s="139">
        <v>6879.2699999999995</v>
      </c>
      <c r="D7" s="139">
        <v>24.08</v>
      </c>
      <c r="E7" s="139" t="e">
        <f>#REF!+brc!D7</f>
        <v>#REF!</v>
      </c>
      <c r="F7" s="139">
        <v>0</v>
      </c>
      <c r="G7" s="139" t="e">
        <f>#REF!+brc!F7</f>
        <v>#REF!</v>
      </c>
      <c r="H7" s="139">
        <f>C7+(D7-F7)</f>
        <v>6903.3499999999995</v>
      </c>
      <c r="I7" s="139">
        <v>58.64</v>
      </c>
      <c r="J7" s="139">
        <v>0</v>
      </c>
      <c r="K7" s="139" t="e">
        <f>#REF!+brc!J7</f>
        <v>#REF!</v>
      </c>
      <c r="L7" s="139">
        <v>0</v>
      </c>
      <c r="M7" s="139" t="e">
        <f>#REF!+brc!L7</f>
        <v>#REF!</v>
      </c>
      <c r="N7" s="139">
        <f>I7+(J7-L7)</f>
        <v>58.64</v>
      </c>
      <c r="O7" s="139">
        <v>0</v>
      </c>
      <c r="P7" s="139">
        <v>0</v>
      </c>
      <c r="Q7" s="139" t="e">
        <f>#REF!+brc!P7</f>
        <v>#REF!</v>
      </c>
      <c r="R7" s="139">
        <v>0</v>
      </c>
      <c r="S7" s="139" t="e">
        <f>#REF!+brc!R7</f>
        <v>#REF!</v>
      </c>
      <c r="T7" s="139">
        <f>O7+(P7-R7)</f>
        <v>0</v>
      </c>
      <c r="U7" s="139">
        <f>H7+N7+T7</f>
        <v>6961.99</v>
      </c>
    </row>
    <row r="8" spans="1:22" s="111" customFormat="1" ht="86.25" customHeight="1" x14ac:dyDescent="0.4">
      <c r="A8" s="136">
        <v>2</v>
      </c>
      <c r="B8" s="136" t="s">
        <v>31</v>
      </c>
      <c r="C8" s="139">
        <v>4890.3000000000011</v>
      </c>
      <c r="D8" s="139">
        <v>7.81</v>
      </c>
      <c r="E8" s="139" t="e">
        <f>#REF!+brc!D8</f>
        <v>#REF!</v>
      </c>
      <c r="F8" s="139">
        <v>0</v>
      </c>
      <c r="G8" s="139" t="e">
        <f>#REF!+brc!F8</f>
        <v>#REF!</v>
      </c>
      <c r="H8" s="139">
        <f>C8+(D8-F8)</f>
        <v>4898.1100000000015</v>
      </c>
      <c r="I8" s="139">
        <v>512.21799999999996</v>
      </c>
      <c r="J8" s="139">
        <v>0.03</v>
      </c>
      <c r="K8" s="139" t="e">
        <f>#REF!+brc!J8</f>
        <v>#REF!</v>
      </c>
      <c r="L8" s="139">
        <v>0</v>
      </c>
      <c r="M8" s="139" t="e">
        <f>#REF!+brc!L8</f>
        <v>#REF!</v>
      </c>
      <c r="N8" s="139">
        <f>I8+(J8-L8)</f>
        <v>512.24799999999993</v>
      </c>
      <c r="O8" s="139">
        <v>3.0000000000000004</v>
      </c>
      <c r="P8" s="139">
        <v>0.04</v>
      </c>
      <c r="Q8" s="139" t="e">
        <f>#REF!+brc!P8</f>
        <v>#REF!</v>
      </c>
      <c r="R8" s="139">
        <v>0</v>
      </c>
      <c r="S8" s="139" t="e">
        <f>#REF!+brc!R8</f>
        <v>#REF!</v>
      </c>
      <c r="T8" s="139">
        <f>O8+(P8-R8)</f>
        <v>3.0400000000000005</v>
      </c>
      <c r="U8" s="139">
        <f>H8+N8+T8</f>
        <v>5413.398000000001</v>
      </c>
      <c r="V8" s="137"/>
    </row>
    <row r="9" spans="1:22" s="111" customFormat="1" ht="86.25" customHeight="1" x14ac:dyDescent="0.4">
      <c r="A9" s="135"/>
      <c r="B9" s="135" t="s">
        <v>32</v>
      </c>
      <c r="C9" s="110">
        <f>SUM(C7:C8)</f>
        <v>11769.57</v>
      </c>
      <c r="D9" s="110">
        <f>D8+D7</f>
        <v>31.889999999999997</v>
      </c>
      <c r="E9" s="110" t="e">
        <f>#REF!+brc!D9</f>
        <v>#REF!</v>
      </c>
      <c r="F9" s="110">
        <f>F8+F7</f>
        <v>0</v>
      </c>
      <c r="G9" s="110" t="e">
        <f>#REF!+brc!F9</f>
        <v>#REF!</v>
      </c>
      <c r="H9" s="110">
        <f>C9+(D9-F9)</f>
        <v>11801.46</v>
      </c>
      <c r="I9" s="110">
        <f>SUM(I7:I8)</f>
        <v>570.85799999999995</v>
      </c>
      <c r="J9" s="110">
        <f>J8+J7</f>
        <v>0.03</v>
      </c>
      <c r="K9" s="110" t="e">
        <f>#REF!+brc!J9</f>
        <v>#REF!</v>
      </c>
      <c r="L9" s="110">
        <f>L8+L7</f>
        <v>0</v>
      </c>
      <c r="M9" s="110" t="e">
        <f>#REF!+brc!L9</f>
        <v>#REF!</v>
      </c>
      <c r="N9" s="110">
        <f>I9+(J9-L9)</f>
        <v>570.88799999999992</v>
      </c>
      <c r="O9" s="110">
        <f>SUM(O7:O8)</f>
        <v>3.0000000000000004</v>
      </c>
      <c r="P9" s="110">
        <f>P8+P7</f>
        <v>0.04</v>
      </c>
      <c r="Q9" s="110" t="e">
        <f>#REF!+brc!P9</f>
        <v>#REF!</v>
      </c>
      <c r="R9" s="110">
        <f>R8+R7</f>
        <v>0</v>
      </c>
      <c r="S9" s="110" t="e">
        <f>#REF!+brc!R9</f>
        <v>#REF!</v>
      </c>
      <c r="T9" s="110">
        <f>O9+(P9-R9)</f>
        <v>3.0400000000000005</v>
      </c>
      <c r="U9" s="110">
        <f>H9+N9+T9</f>
        <v>12375.387999999999</v>
      </c>
    </row>
    <row r="10" spans="1:22" ht="24" customHeight="1" x14ac:dyDescent="0.35">
      <c r="J10" s="277" t="s">
        <v>61</v>
      </c>
      <c r="K10" s="277"/>
      <c r="L10" s="277"/>
    </row>
    <row r="11" spans="1:22" ht="26.25" x14ac:dyDescent="0.35">
      <c r="G11" s="119"/>
      <c r="J11" s="277" t="s">
        <v>62</v>
      </c>
      <c r="K11" s="277"/>
      <c r="L11" s="277"/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2">
    <mergeCell ref="J11:L11"/>
    <mergeCell ref="J5:K5"/>
    <mergeCell ref="L5:M5"/>
    <mergeCell ref="N5:N6"/>
    <mergeCell ref="O5:O6"/>
    <mergeCell ref="J10:L10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view="pageBreakPreview" topLeftCell="I1" zoomScale="60" zoomScaleNormal="100" workbookViewId="0">
      <selection activeCell="H8" sqref="H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6.710937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6"/>
    </row>
    <row r="2" spans="1:22" ht="15" customHeight="1" x14ac:dyDescent="0.35">
      <c r="A2" s="284" t="s">
        <v>70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</row>
    <row r="3" spans="1:22" ht="32.25" customHeight="1" x14ac:dyDescent="0.35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</row>
    <row r="4" spans="1:22" s="108" customFormat="1" ht="43.5" customHeight="1" x14ac:dyDescent="0.25">
      <c r="A4" s="281" t="s">
        <v>1</v>
      </c>
      <c r="B4" s="281" t="s">
        <v>2</v>
      </c>
      <c r="C4" s="281" t="s">
        <v>3</v>
      </c>
      <c r="D4" s="281"/>
      <c r="E4" s="281"/>
      <c r="F4" s="281"/>
      <c r="G4" s="281"/>
      <c r="H4" s="281"/>
      <c r="I4" s="281" t="s">
        <v>4</v>
      </c>
      <c r="J4" s="282"/>
      <c r="K4" s="282"/>
      <c r="L4" s="282"/>
      <c r="M4" s="282"/>
      <c r="N4" s="282"/>
      <c r="O4" s="281" t="s">
        <v>5</v>
      </c>
      <c r="P4" s="282"/>
      <c r="Q4" s="282"/>
      <c r="R4" s="282"/>
      <c r="S4" s="282"/>
      <c r="T4" s="282"/>
      <c r="U4" s="136"/>
    </row>
    <row r="5" spans="1:22" s="108" customFormat="1" ht="54.75" customHeight="1" x14ac:dyDescent="0.25">
      <c r="A5" s="282"/>
      <c r="B5" s="282"/>
      <c r="C5" s="281" t="s">
        <v>6</v>
      </c>
      <c r="D5" s="281" t="s">
        <v>7</v>
      </c>
      <c r="E5" s="281"/>
      <c r="F5" s="281" t="s">
        <v>8</v>
      </c>
      <c r="G5" s="281"/>
      <c r="H5" s="317" t="s">
        <v>9</v>
      </c>
      <c r="I5" s="281" t="s">
        <v>6</v>
      </c>
      <c r="J5" s="281" t="s">
        <v>7</v>
      </c>
      <c r="K5" s="281"/>
      <c r="L5" s="281" t="s">
        <v>8</v>
      </c>
      <c r="M5" s="281"/>
      <c r="N5" s="281" t="s">
        <v>9</v>
      </c>
      <c r="O5" s="281" t="s">
        <v>6</v>
      </c>
      <c r="P5" s="281" t="s">
        <v>7</v>
      </c>
      <c r="Q5" s="281"/>
      <c r="R5" s="281" t="s">
        <v>8</v>
      </c>
      <c r="S5" s="281"/>
      <c r="T5" s="281" t="s">
        <v>9</v>
      </c>
      <c r="U5" s="281" t="s">
        <v>10</v>
      </c>
    </row>
    <row r="6" spans="1:22" s="108" customFormat="1" ht="38.25" customHeight="1" x14ac:dyDescent="0.25">
      <c r="A6" s="282"/>
      <c r="B6" s="282"/>
      <c r="C6" s="282"/>
      <c r="D6" s="135" t="s">
        <v>11</v>
      </c>
      <c r="E6" s="135" t="s">
        <v>12</v>
      </c>
      <c r="F6" s="135" t="s">
        <v>11</v>
      </c>
      <c r="G6" s="135" t="s">
        <v>12</v>
      </c>
      <c r="H6" s="318"/>
      <c r="I6" s="282"/>
      <c r="J6" s="135" t="s">
        <v>11</v>
      </c>
      <c r="K6" s="135" t="s">
        <v>12</v>
      </c>
      <c r="L6" s="135" t="s">
        <v>11</v>
      </c>
      <c r="M6" s="135" t="s">
        <v>12</v>
      </c>
      <c r="N6" s="281"/>
      <c r="O6" s="282"/>
      <c r="P6" s="135" t="s">
        <v>11</v>
      </c>
      <c r="Q6" s="135" t="s">
        <v>12</v>
      </c>
      <c r="R6" s="135" t="s">
        <v>11</v>
      </c>
      <c r="S6" s="135" t="s">
        <v>12</v>
      </c>
      <c r="T6" s="281"/>
      <c r="U6" s="281"/>
    </row>
    <row r="7" spans="1:22" ht="123" customHeight="1" x14ac:dyDescent="0.35">
      <c r="A7" s="136">
        <v>1</v>
      </c>
      <c r="B7" s="138" t="s">
        <v>37</v>
      </c>
      <c r="C7" s="139">
        <v>4091.67</v>
      </c>
      <c r="D7" s="139">
        <v>6.53</v>
      </c>
      <c r="E7" s="139" t="e">
        <f>#REF!+kolar!D7</f>
        <v>#REF!</v>
      </c>
      <c r="F7" s="139">
        <v>0</v>
      </c>
      <c r="G7" s="139" t="e">
        <f>#REF!+kolar!F7</f>
        <v>#REF!</v>
      </c>
      <c r="H7" s="139">
        <f>C7+(D7-F7)</f>
        <v>4098.2</v>
      </c>
      <c r="I7" s="139">
        <v>7.6</v>
      </c>
      <c r="J7" s="139">
        <v>0</v>
      </c>
      <c r="K7" s="139" t="e">
        <f>#REF!+kolar!J7</f>
        <v>#REF!</v>
      </c>
      <c r="L7" s="139">
        <v>0</v>
      </c>
      <c r="M7" s="139" t="e">
        <f>#REF!+kolar!L7</f>
        <v>#REF!</v>
      </c>
      <c r="N7" s="139">
        <f>I7+(J7-L7)</f>
        <v>7.6</v>
      </c>
      <c r="O7" s="139">
        <v>0</v>
      </c>
      <c r="P7" s="139">
        <v>0</v>
      </c>
      <c r="Q7" s="139" t="e">
        <f>#REF!+kolar!P7</f>
        <v>#REF!</v>
      </c>
      <c r="R7" s="139">
        <v>0</v>
      </c>
      <c r="S7" s="139" t="e">
        <f>#REF!+kolar!R7</f>
        <v>#REF!</v>
      </c>
      <c r="T7" s="139">
        <f>O7+(P7-R7)</f>
        <v>0</v>
      </c>
      <c r="U7" s="139">
        <f>H7+N7+T7</f>
        <v>4105.8</v>
      </c>
    </row>
    <row r="8" spans="1:22" ht="123" customHeight="1" x14ac:dyDescent="0.35">
      <c r="A8" s="136">
        <v>2</v>
      </c>
      <c r="B8" s="138" t="s">
        <v>38</v>
      </c>
      <c r="C8" s="139">
        <v>5333.3699999999981</v>
      </c>
      <c r="D8" s="139">
        <v>13.71</v>
      </c>
      <c r="E8" s="139" t="e">
        <f>#REF!+kolar!D8</f>
        <v>#REF!</v>
      </c>
      <c r="F8" s="139">
        <v>0</v>
      </c>
      <c r="G8" s="139" t="e">
        <f>#REF!+kolar!F8</f>
        <v>#REF!</v>
      </c>
      <c r="H8" s="139">
        <f>C8+(D8-F8)</f>
        <v>5347.0799999999981</v>
      </c>
      <c r="I8" s="139">
        <v>4</v>
      </c>
      <c r="J8" s="139">
        <v>0</v>
      </c>
      <c r="K8" s="139" t="e">
        <f>#REF!+kolar!J8</f>
        <v>#REF!</v>
      </c>
      <c r="L8" s="139">
        <v>0</v>
      </c>
      <c r="M8" s="139" t="e">
        <f>#REF!+kolar!L8</f>
        <v>#REF!</v>
      </c>
      <c r="N8" s="139">
        <f>I8+(J8-L8)</f>
        <v>4</v>
      </c>
      <c r="O8" s="139">
        <v>0.03</v>
      </c>
      <c r="P8" s="139">
        <v>0</v>
      </c>
      <c r="Q8" s="139" t="e">
        <f>#REF!+kolar!P8</f>
        <v>#REF!</v>
      </c>
      <c r="R8" s="139">
        <v>0</v>
      </c>
      <c r="S8" s="139" t="e">
        <f>#REF!+kolar!R8</f>
        <v>#REF!</v>
      </c>
      <c r="T8" s="139">
        <f>O8+(P8-R8)</f>
        <v>0.03</v>
      </c>
      <c r="U8" s="139">
        <f>H8+N8+T8</f>
        <v>5351.1099999999979</v>
      </c>
    </row>
    <row r="9" spans="1:22" s="111" customFormat="1" ht="123" customHeight="1" x14ac:dyDescent="0.4">
      <c r="A9" s="136">
        <v>3</v>
      </c>
      <c r="B9" s="138" t="s">
        <v>39</v>
      </c>
      <c r="C9" s="139">
        <v>2611.6</v>
      </c>
      <c r="D9" s="139">
        <v>15.77</v>
      </c>
      <c r="E9" s="139" t="e">
        <f>#REF!+kolar!D9</f>
        <v>#REF!</v>
      </c>
      <c r="F9" s="139">
        <v>0</v>
      </c>
      <c r="G9" s="139" t="e">
        <f>#REF!+kolar!F9</f>
        <v>#REF!</v>
      </c>
      <c r="H9" s="139">
        <f>C9+(D9-F9)</f>
        <v>2627.37</v>
      </c>
      <c r="I9" s="139">
        <v>155.65000000000003</v>
      </c>
      <c r="J9" s="139">
        <v>0</v>
      </c>
      <c r="K9" s="139" t="e">
        <f>#REF!+kolar!J9</f>
        <v>#REF!</v>
      </c>
      <c r="L9" s="139">
        <v>0</v>
      </c>
      <c r="M9" s="139" t="e">
        <f>#REF!+kolar!L9</f>
        <v>#REF!</v>
      </c>
      <c r="N9" s="139">
        <f>I9+(J9-L9)</f>
        <v>155.65000000000003</v>
      </c>
      <c r="O9" s="139">
        <v>2.2000000000000002</v>
      </c>
      <c r="P9" s="139">
        <v>0</v>
      </c>
      <c r="Q9" s="139" t="e">
        <f>#REF!+kolar!P9</f>
        <v>#REF!</v>
      </c>
      <c r="R9" s="139">
        <v>0</v>
      </c>
      <c r="S9" s="139" t="e">
        <f>#REF!+kolar!R9</f>
        <v>#REF!</v>
      </c>
      <c r="T9" s="139">
        <f>O9+(P9-R9)</f>
        <v>2.2000000000000002</v>
      </c>
      <c r="U9" s="139">
        <f>H9+N9+T9</f>
        <v>2785.22</v>
      </c>
      <c r="V9" s="137"/>
    </row>
    <row r="10" spans="1:22" s="111" customFormat="1" ht="123" customHeight="1" x14ac:dyDescent="0.4">
      <c r="A10" s="136">
        <v>4</v>
      </c>
      <c r="B10" s="138" t="s">
        <v>40</v>
      </c>
      <c r="C10" s="139">
        <v>4571.1900000000005</v>
      </c>
      <c r="D10" s="139">
        <v>8.67</v>
      </c>
      <c r="E10" s="139" t="e">
        <f>#REF!+kolar!D10</f>
        <v>#REF!</v>
      </c>
      <c r="F10" s="139">
        <v>0</v>
      </c>
      <c r="G10" s="139" t="e">
        <f>#REF!+kolar!F10</f>
        <v>#REF!</v>
      </c>
      <c r="H10" s="139">
        <f>C10+(D10-F10)</f>
        <v>4579.8600000000006</v>
      </c>
      <c r="I10" s="139">
        <v>6.92</v>
      </c>
      <c r="J10" s="139">
        <v>0</v>
      </c>
      <c r="K10" s="139" t="e">
        <f>#REF!+kolar!J10</f>
        <v>#REF!</v>
      </c>
      <c r="L10" s="139">
        <v>0</v>
      </c>
      <c r="M10" s="139" t="e">
        <f>#REF!+kolar!L10</f>
        <v>#REF!</v>
      </c>
      <c r="N10" s="139">
        <f>I10+(J10-L10)</f>
        <v>6.92</v>
      </c>
      <c r="O10" s="139">
        <v>1.04</v>
      </c>
      <c r="P10" s="139">
        <v>0</v>
      </c>
      <c r="Q10" s="139" t="e">
        <f>#REF!+kolar!P10</f>
        <v>#REF!</v>
      </c>
      <c r="R10" s="139">
        <v>0</v>
      </c>
      <c r="S10" s="139" t="e">
        <f>#REF!+kolar!R10</f>
        <v>#REF!</v>
      </c>
      <c r="T10" s="139">
        <f>O10+(P10-R10)</f>
        <v>1.04</v>
      </c>
      <c r="U10" s="139">
        <f>H10+N10+T10</f>
        <v>4587.8200000000006</v>
      </c>
      <c r="V10" s="137"/>
    </row>
    <row r="11" spans="1:22" s="111" customFormat="1" ht="123" customHeight="1" x14ac:dyDescent="0.4">
      <c r="A11" s="135"/>
      <c r="B11" s="140" t="s">
        <v>41</v>
      </c>
      <c r="C11" s="141">
        <f>SUM(C7:C10)</f>
        <v>16607.829999999998</v>
      </c>
      <c r="D11" s="141">
        <f>SUM(D7:D10)</f>
        <v>44.680000000000007</v>
      </c>
      <c r="E11" s="141" t="e">
        <f>#REF!+kolar!D11</f>
        <v>#REF!</v>
      </c>
      <c r="F11" s="141">
        <f>SUM(F7:F10)</f>
        <v>0</v>
      </c>
      <c r="G11" s="141" t="e">
        <f>#REF!+kolar!F11</f>
        <v>#REF!</v>
      </c>
      <c r="H11" s="141">
        <f>C11+(D11-F11)</f>
        <v>16652.509999999998</v>
      </c>
      <c r="I11" s="141">
        <f>SUM(I7:I10)</f>
        <v>174.17000000000002</v>
      </c>
      <c r="J11" s="141">
        <f>SUM(J7:J10)</f>
        <v>0</v>
      </c>
      <c r="K11" s="141" t="e">
        <f>#REF!+kolar!J11</f>
        <v>#REF!</v>
      </c>
      <c r="L11" s="141">
        <f>SUM(L7:L10)</f>
        <v>0</v>
      </c>
      <c r="M11" s="141" t="e">
        <f>#REF!+kolar!L11</f>
        <v>#REF!</v>
      </c>
      <c r="N11" s="141">
        <f>I11+(J11-L11)</f>
        <v>174.17000000000002</v>
      </c>
      <c r="O11" s="141">
        <f>SUM(O7:O10)</f>
        <v>3.27</v>
      </c>
      <c r="P11" s="141">
        <f>SUM(P7:P10)</f>
        <v>0</v>
      </c>
      <c r="Q11" s="141" t="e">
        <f>#REF!+kolar!P11</f>
        <v>#REF!</v>
      </c>
      <c r="R11" s="141">
        <f>SUM(R7:R10)</f>
        <v>0</v>
      </c>
      <c r="S11" s="141" t="e">
        <f>#REF!+kolar!R11</f>
        <v>#REF!</v>
      </c>
      <c r="T11" s="141">
        <f>O11+(P11-R11)</f>
        <v>3.27</v>
      </c>
      <c r="U11" s="141">
        <f>H11+N11+T11</f>
        <v>16829.949999999997</v>
      </c>
    </row>
  </sheetData>
  <mergeCells count="2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5:K5"/>
    <mergeCell ref="L5:M5"/>
    <mergeCell ref="N5:N6"/>
    <mergeCell ref="O5:O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10" zoomScaleNormal="100" workbookViewId="0">
      <selection activeCell="C7" sqref="C7:U11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6"/>
    </row>
    <row r="2" spans="1:22" ht="15" customHeight="1" x14ac:dyDescent="0.35">
      <c r="A2" s="284" t="s">
        <v>70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</row>
    <row r="3" spans="1:22" ht="32.25" customHeight="1" x14ac:dyDescent="0.35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</row>
    <row r="4" spans="1:22" s="108" customFormat="1" ht="43.5" customHeight="1" x14ac:dyDescent="0.25">
      <c r="A4" s="281" t="s">
        <v>1</v>
      </c>
      <c r="B4" s="281" t="s">
        <v>2</v>
      </c>
      <c r="C4" s="281" t="s">
        <v>3</v>
      </c>
      <c r="D4" s="281"/>
      <c r="E4" s="281"/>
      <c r="F4" s="281"/>
      <c r="G4" s="281"/>
      <c r="H4" s="281"/>
      <c r="I4" s="281" t="s">
        <v>4</v>
      </c>
      <c r="J4" s="282"/>
      <c r="K4" s="282"/>
      <c r="L4" s="282"/>
      <c r="M4" s="282"/>
      <c r="N4" s="282"/>
      <c r="O4" s="281" t="s">
        <v>5</v>
      </c>
      <c r="P4" s="282"/>
      <c r="Q4" s="282"/>
      <c r="R4" s="282"/>
      <c r="S4" s="282"/>
      <c r="T4" s="282"/>
      <c r="U4" s="136"/>
    </row>
    <row r="5" spans="1:22" s="108" customFormat="1" ht="54.75" customHeight="1" x14ac:dyDescent="0.25">
      <c r="A5" s="282"/>
      <c r="B5" s="282"/>
      <c r="C5" s="281" t="s">
        <v>6</v>
      </c>
      <c r="D5" s="281" t="s">
        <v>7</v>
      </c>
      <c r="E5" s="281"/>
      <c r="F5" s="281" t="s">
        <v>8</v>
      </c>
      <c r="G5" s="281"/>
      <c r="H5" s="317" t="s">
        <v>9</v>
      </c>
      <c r="I5" s="281" t="s">
        <v>6</v>
      </c>
      <c r="J5" s="281" t="s">
        <v>7</v>
      </c>
      <c r="K5" s="281"/>
      <c r="L5" s="281" t="s">
        <v>8</v>
      </c>
      <c r="M5" s="281"/>
      <c r="N5" s="281" t="s">
        <v>9</v>
      </c>
      <c r="O5" s="281" t="s">
        <v>6</v>
      </c>
      <c r="P5" s="281" t="s">
        <v>7</v>
      </c>
      <c r="Q5" s="281"/>
      <c r="R5" s="281" t="s">
        <v>8</v>
      </c>
      <c r="S5" s="281"/>
      <c r="T5" s="281" t="s">
        <v>9</v>
      </c>
      <c r="U5" s="281" t="s">
        <v>10</v>
      </c>
    </row>
    <row r="6" spans="1:22" s="108" customFormat="1" ht="38.25" customHeight="1" x14ac:dyDescent="0.25">
      <c r="A6" s="282"/>
      <c r="B6" s="282"/>
      <c r="C6" s="282"/>
      <c r="D6" s="135" t="s">
        <v>11</v>
      </c>
      <c r="E6" s="135" t="s">
        <v>12</v>
      </c>
      <c r="F6" s="135" t="s">
        <v>11</v>
      </c>
      <c r="G6" s="135" t="s">
        <v>12</v>
      </c>
      <c r="H6" s="318"/>
      <c r="I6" s="282"/>
      <c r="J6" s="135" t="s">
        <v>11</v>
      </c>
      <c r="K6" s="135" t="s">
        <v>12</v>
      </c>
      <c r="L6" s="135" t="s">
        <v>11</v>
      </c>
      <c r="M6" s="135" t="s">
        <v>12</v>
      </c>
      <c r="N6" s="281"/>
      <c r="O6" s="282"/>
      <c r="P6" s="135" t="s">
        <v>11</v>
      </c>
      <c r="Q6" s="135" t="s">
        <v>12</v>
      </c>
      <c r="R6" s="135" t="s">
        <v>11</v>
      </c>
      <c r="S6" s="135" t="s">
        <v>12</v>
      </c>
      <c r="T6" s="281"/>
      <c r="U6" s="281"/>
    </row>
    <row r="7" spans="1:22" ht="99.75" customHeight="1" x14ac:dyDescent="0.35">
      <c r="A7" s="136">
        <v>1</v>
      </c>
      <c r="B7" s="136" t="s">
        <v>33</v>
      </c>
      <c r="C7" s="139">
        <v>3543.9629999999997</v>
      </c>
      <c r="D7" s="139">
        <v>45.25</v>
      </c>
      <c r="E7" s="139" t="e">
        <f>#REF!+ramanagr!D7</f>
        <v>#REF!</v>
      </c>
      <c r="F7" s="139">
        <v>0</v>
      </c>
      <c r="G7" s="139" t="e">
        <f>#REF!+ramanagr!F7</f>
        <v>#REF!</v>
      </c>
      <c r="H7" s="139">
        <f>C7+(D7-F7)</f>
        <v>3589.2129999999997</v>
      </c>
      <c r="I7" s="139">
        <v>52.24</v>
      </c>
      <c r="J7" s="139">
        <v>0</v>
      </c>
      <c r="K7" s="139" t="e">
        <f>#REF!+ramanagr!J7</f>
        <v>#REF!</v>
      </c>
      <c r="L7" s="139">
        <v>0</v>
      </c>
      <c r="M7" s="139" t="e">
        <f>#REF!+ramanagr!L7</f>
        <v>#REF!</v>
      </c>
      <c r="N7" s="139">
        <f>I7+(J7-L7)</f>
        <v>52.24</v>
      </c>
      <c r="O7" s="139">
        <v>56.250000000000007</v>
      </c>
      <c r="P7" s="139">
        <v>0</v>
      </c>
      <c r="Q7" s="139" t="e">
        <f>#REF!+ramanagr!P7</f>
        <v>#REF!</v>
      </c>
      <c r="R7" s="139">
        <v>0</v>
      </c>
      <c r="S7" s="139" t="e">
        <f>#REF!+ramanagr!R7</f>
        <v>#REF!</v>
      </c>
      <c r="T7" s="139">
        <f>O7+(P7-R7)</f>
        <v>56.250000000000007</v>
      </c>
      <c r="U7" s="139">
        <f>H7+N7+T7</f>
        <v>3697.7029999999995</v>
      </c>
    </row>
    <row r="8" spans="1:22" ht="99.75" customHeight="1" x14ac:dyDescent="0.35">
      <c r="A8" s="136">
        <v>2</v>
      </c>
      <c r="B8" s="136" t="s">
        <v>64</v>
      </c>
      <c r="C8" s="139">
        <v>213.87100000000001</v>
      </c>
      <c r="D8" s="139">
        <v>4.7439999999999998</v>
      </c>
      <c r="E8" s="139" t="e">
        <f>#REF!+ramanagr!D8</f>
        <v>#REF!</v>
      </c>
      <c r="F8" s="139">
        <v>0</v>
      </c>
      <c r="G8" s="139" t="e">
        <f>#REF!+ramanagr!F8</f>
        <v>#REF!</v>
      </c>
      <c r="H8" s="139">
        <f>C8+(D8-F8)</f>
        <v>218.61500000000001</v>
      </c>
      <c r="I8" s="139">
        <v>10.198</v>
      </c>
      <c r="J8" s="139">
        <v>5.5</v>
      </c>
      <c r="K8" s="139" t="e">
        <f>#REF!+ramanagr!J8</f>
        <v>#REF!</v>
      </c>
      <c r="L8" s="139">
        <v>0</v>
      </c>
      <c r="M8" s="139" t="e">
        <f>#REF!+ramanagr!L8</f>
        <v>#REF!</v>
      </c>
      <c r="N8" s="139">
        <f>I8+(J8-L8)</f>
        <v>15.698</v>
      </c>
      <c r="O8" s="139">
        <v>0</v>
      </c>
      <c r="P8" s="139">
        <v>0</v>
      </c>
      <c r="Q8" s="139" t="e">
        <f>#REF!+ramanagr!P8</f>
        <v>#REF!</v>
      </c>
      <c r="R8" s="139">
        <v>0</v>
      </c>
      <c r="S8" s="139" t="e">
        <f>#REF!+ramanagr!R8</f>
        <v>#REF!</v>
      </c>
      <c r="T8" s="139">
        <f>O8+(P8-R8)</f>
        <v>0</v>
      </c>
      <c r="U8" s="139">
        <f>H8+N8+T8</f>
        <v>234.31300000000002</v>
      </c>
    </row>
    <row r="9" spans="1:22" s="111" customFormat="1" ht="99.75" customHeight="1" x14ac:dyDescent="0.4">
      <c r="A9" s="136">
        <v>3</v>
      </c>
      <c r="B9" s="136" t="s">
        <v>34</v>
      </c>
      <c r="C9" s="139">
        <v>3826.6110000000003</v>
      </c>
      <c r="D9" s="139">
        <v>3.26</v>
      </c>
      <c r="E9" s="139" t="e">
        <f>#REF!+ramanagr!D9</f>
        <v>#REF!</v>
      </c>
      <c r="F9" s="139">
        <v>0</v>
      </c>
      <c r="G9" s="139" t="e">
        <f>#REF!+ramanagr!F9</f>
        <v>#REF!</v>
      </c>
      <c r="H9" s="139">
        <f>C9+(D9-F9)</f>
        <v>3829.8710000000005</v>
      </c>
      <c r="I9" s="139">
        <v>41.210000000000008</v>
      </c>
      <c r="J9" s="139">
        <v>0</v>
      </c>
      <c r="K9" s="139" t="e">
        <f>#REF!+ramanagr!J9</f>
        <v>#REF!</v>
      </c>
      <c r="L9" s="139">
        <v>0</v>
      </c>
      <c r="M9" s="139" t="e">
        <f>#REF!+ramanagr!L9</f>
        <v>#REF!</v>
      </c>
      <c r="N9" s="139">
        <f>I9+(J9-L9)</f>
        <v>41.210000000000008</v>
      </c>
      <c r="O9" s="139">
        <v>72.55</v>
      </c>
      <c r="P9" s="139">
        <v>0</v>
      </c>
      <c r="Q9" s="139" t="e">
        <f>#REF!+ramanagr!P9</f>
        <v>#REF!</v>
      </c>
      <c r="R9" s="139">
        <v>0</v>
      </c>
      <c r="S9" s="139" t="e">
        <f>#REF!+ramanagr!R9</f>
        <v>#REF!</v>
      </c>
      <c r="T9" s="139">
        <f>O9+(P9-R9)</f>
        <v>72.55</v>
      </c>
      <c r="U9" s="139">
        <f>H9+N9+T9</f>
        <v>3943.6310000000008</v>
      </c>
      <c r="V9" s="137"/>
    </row>
    <row r="10" spans="1:22" ht="99.75" customHeight="1" x14ac:dyDescent="0.35">
      <c r="A10" s="136">
        <v>4</v>
      </c>
      <c r="B10" s="136" t="s">
        <v>35</v>
      </c>
      <c r="C10" s="139">
        <v>2383.5333000000001</v>
      </c>
      <c r="D10" s="139">
        <v>10.210000000000001</v>
      </c>
      <c r="E10" s="139" t="e">
        <f>#REF!+ramanagr!D10</f>
        <v>#REF!</v>
      </c>
      <c r="F10" s="139">
        <v>0</v>
      </c>
      <c r="G10" s="139" t="e">
        <f>#REF!+ramanagr!F10</f>
        <v>#REF!</v>
      </c>
      <c r="H10" s="139">
        <f>C10+(D10-F10)</f>
        <v>2393.7433000000001</v>
      </c>
      <c r="I10" s="139">
        <v>143.50399999999996</v>
      </c>
      <c r="J10" s="139">
        <v>0.06</v>
      </c>
      <c r="K10" s="139" t="e">
        <f>#REF!+ramanagr!J10</f>
        <v>#REF!</v>
      </c>
      <c r="L10" s="139">
        <v>0</v>
      </c>
      <c r="M10" s="139" t="e">
        <f>#REF!+ramanagr!L10</f>
        <v>#REF!</v>
      </c>
      <c r="N10" s="139">
        <f>I10+(J10-L10)</f>
        <v>143.56399999999996</v>
      </c>
      <c r="O10" s="139">
        <v>18.149999999999999</v>
      </c>
      <c r="P10" s="139">
        <v>0</v>
      </c>
      <c r="Q10" s="139" t="e">
        <f>#REF!+ramanagr!P10</f>
        <v>#REF!</v>
      </c>
      <c r="R10" s="139">
        <v>0</v>
      </c>
      <c r="S10" s="139" t="e">
        <f>#REF!+ramanagr!R10</f>
        <v>#REF!</v>
      </c>
      <c r="T10" s="139">
        <f>O10+(P10-R10)</f>
        <v>18.149999999999999</v>
      </c>
      <c r="U10" s="139">
        <f>H10+N10+T10</f>
        <v>2555.4573</v>
      </c>
    </row>
    <row r="11" spans="1:22" s="111" customFormat="1" ht="99.75" customHeight="1" x14ac:dyDescent="0.4">
      <c r="A11" s="135"/>
      <c r="B11" s="135" t="s">
        <v>36</v>
      </c>
      <c r="C11" s="141">
        <f>SUM(C7:C10)</f>
        <v>9967.9782999999989</v>
      </c>
      <c r="D11" s="141">
        <f>D10+D9+D8+D7</f>
        <v>63.463999999999999</v>
      </c>
      <c r="E11" s="141" t="e">
        <f>#REF!+ramanagr!D11</f>
        <v>#REF!</v>
      </c>
      <c r="F11" s="141">
        <f>F10+F9+F8+F7</f>
        <v>0</v>
      </c>
      <c r="G11" s="141" t="e">
        <f>#REF!+ramanagr!F11</f>
        <v>#REF!</v>
      </c>
      <c r="H11" s="141">
        <f>C11+(D11-F11)</f>
        <v>10031.442299999999</v>
      </c>
      <c r="I11" s="141">
        <f>SUM(I7:I10)</f>
        <v>247.15199999999999</v>
      </c>
      <c r="J11" s="141">
        <f>J10+J9+J8+J7</f>
        <v>5.56</v>
      </c>
      <c r="K11" s="141" t="e">
        <f>#REF!+ramanagr!J11</f>
        <v>#REF!</v>
      </c>
      <c r="L11" s="141">
        <f>L10+L9+L8+L7</f>
        <v>0</v>
      </c>
      <c r="M11" s="141" t="e">
        <f>#REF!+ramanagr!L11</f>
        <v>#REF!</v>
      </c>
      <c r="N11" s="141">
        <f>I11+(J11-L11)</f>
        <v>252.71199999999999</v>
      </c>
      <c r="O11" s="141">
        <f>SUM(O7:O10)</f>
        <v>146.95000000000002</v>
      </c>
      <c r="P11" s="141">
        <f>P10+P9+P8+P7</f>
        <v>0</v>
      </c>
      <c r="Q11" s="141" t="e">
        <f>#REF!+ramanagr!P11</f>
        <v>#REF!</v>
      </c>
      <c r="R11" s="141">
        <f>R10+R9+R8+R7</f>
        <v>0</v>
      </c>
      <c r="S11" s="141" t="e">
        <f>#REF!+ramanagr!R11</f>
        <v>#REF!</v>
      </c>
      <c r="T11" s="141">
        <f>O11+(P11-R11)</f>
        <v>146.95000000000002</v>
      </c>
      <c r="U11" s="141">
        <f>H11+N11+T11</f>
        <v>10431.104299999999</v>
      </c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5:K5"/>
    <mergeCell ref="L5:M5"/>
    <mergeCell ref="N5:N6"/>
    <mergeCell ref="O5:O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73"/>
  <sheetViews>
    <sheetView zoomScaleNormal="100" workbookViewId="0">
      <pane ySplit="6" topLeftCell="A7" activePane="bottomLeft" state="frozen"/>
      <selection pane="bottomLeft" activeCell="C7" sqref="C7:C50"/>
    </sheetView>
  </sheetViews>
  <sheetFormatPr defaultRowHeight="15.75" x14ac:dyDescent="0.25"/>
  <cols>
    <col min="1" max="1" width="5.7109375" style="11" customWidth="1"/>
    <col min="2" max="2" width="32" style="11" customWidth="1"/>
    <col min="3" max="3" width="18.42578125" style="11" customWidth="1"/>
    <col min="4" max="4" width="16" style="11" customWidth="1"/>
    <col min="5" max="5" width="17.85546875" style="11" customWidth="1"/>
    <col min="6" max="6" width="14" style="11" customWidth="1"/>
    <col min="7" max="7" width="18.5703125" style="11" customWidth="1"/>
    <col min="8" max="8" width="19.85546875" style="11" customWidth="1"/>
    <col min="9" max="9" width="14.7109375" style="82" bestFit="1" customWidth="1"/>
    <col min="10" max="10" width="19.85546875" style="11" customWidth="1"/>
    <col min="11" max="11" width="14.28515625" style="11" customWidth="1"/>
    <col min="12" max="12" width="16.28515625" style="11" customWidth="1"/>
    <col min="13" max="13" width="19.5703125" style="11" customWidth="1"/>
    <col min="14" max="14" width="17.5703125" style="11" customWidth="1"/>
    <col min="15" max="15" width="11.7109375" style="11" customWidth="1"/>
    <col min="16" max="16" width="15" style="75" customWidth="1"/>
    <col min="17" max="17" width="17.28515625" style="75" customWidth="1"/>
    <col min="18" max="18" width="13.140625" style="75" customWidth="1"/>
    <col min="19" max="19" width="20.28515625" style="76" customWidth="1"/>
    <col min="20" max="20" width="18.42578125" style="75" customWidth="1"/>
    <col min="21" max="21" width="22.28515625" style="75" customWidth="1"/>
    <col min="22" max="22" width="9.28515625" style="11" bestFit="1" customWidth="1"/>
    <col min="23" max="16384" width="9.140625" style="11"/>
  </cols>
  <sheetData>
    <row r="1" spans="1:22" x14ac:dyDescent="0.25">
      <c r="A1" s="328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</row>
    <row r="2" spans="1:22" ht="15" customHeight="1" x14ac:dyDescent="0.25">
      <c r="A2" s="330" t="s">
        <v>67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</row>
    <row r="3" spans="1:22" ht="15" customHeight="1" x14ac:dyDescent="0.25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spans="1:22" s="68" customFormat="1" ht="18.75" customHeight="1" x14ac:dyDescent="0.25">
      <c r="A4" s="324" t="s">
        <v>1</v>
      </c>
      <c r="B4" s="324" t="s">
        <v>2</v>
      </c>
      <c r="C4" s="324" t="s">
        <v>3</v>
      </c>
      <c r="D4" s="324"/>
      <c r="E4" s="324"/>
      <c r="F4" s="324"/>
      <c r="G4" s="324"/>
      <c r="H4" s="324"/>
      <c r="I4" s="324" t="s">
        <v>4</v>
      </c>
      <c r="J4" s="327"/>
      <c r="K4" s="327"/>
      <c r="L4" s="327"/>
      <c r="M4" s="327"/>
      <c r="N4" s="327"/>
      <c r="O4" s="324" t="s">
        <v>5</v>
      </c>
      <c r="P4" s="327"/>
      <c r="Q4" s="327"/>
      <c r="R4" s="327"/>
      <c r="S4" s="327"/>
      <c r="T4" s="327"/>
      <c r="U4" s="93"/>
    </row>
    <row r="5" spans="1:22" s="68" customFormat="1" ht="24.75" customHeight="1" x14ac:dyDescent="0.25">
      <c r="A5" s="327"/>
      <c r="B5" s="327"/>
      <c r="C5" s="324" t="s">
        <v>6</v>
      </c>
      <c r="D5" s="324" t="s">
        <v>7</v>
      </c>
      <c r="E5" s="324"/>
      <c r="F5" s="324" t="s">
        <v>8</v>
      </c>
      <c r="G5" s="324"/>
      <c r="H5" s="325" t="s">
        <v>9</v>
      </c>
      <c r="I5" s="324" t="s">
        <v>6</v>
      </c>
      <c r="J5" s="324" t="s">
        <v>7</v>
      </c>
      <c r="K5" s="324"/>
      <c r="L5" s="324" t="s">
        <v>8</v>
      </c>
      <c r="M5" s="324"/>
      <c r="N5" s="324" t="s">
        <v>9</v>
      </c>
      <c r="O5" s="324" t="s">
        <v>6</v>
      </c>
      <c r="P5" s="324" t="s">
        <v>7</v>
      </c>
      <c r="Q5" s="324"/>
      <c r="R5" s="324" t="s">
        <v>8</v>
      </c>
      <c r="S5" s="324"/>
      <c r="T5" s="324" t="s">
        <v>9</v>
      </c>
      <c r="U5" s="324" t="s">
        <v>10</v>
      </c>
    </row>
    <row r="6" spans="1:22" s="68" customFormat="1" ht="21.75" customHeight="1" x14ac:dyDescent="0.25">
      <c r="A6" s="327"/>
      <c r="B6" s="327"/>
      <c r="C6" s="327"/>
      <c r="D6" s="92" t="s">
        <v>11</v>
      </c>
      <c r="E6" s="92" t="s">
        <v>12</v>
      </c>
      <c r="F6" s="92" t="s">
        <v>11</v>
      </c>
      <c r="G6" s="92" t="s">
        <v>12</v>
      </c>
      <c r="H6" s="326"/>
      <c r="I6" s="327"/>
      <c r="J6" s="92" t="s">
        <v>11</v>
      </c>
      <c r="K6" s="92" t="s">
        <v>12</v>
      </c>
      <c r="L6" s="92" t="s">
        <v>11</v>
      </c>
      <c r="M6" s="92" t="s">
        <v>12</v>
      </c>
      <c r="N6" s="324"/>
      <c r="O6" s="327"/>
      <c r="P6" s="92" t="s">
        <v>11</v>
      </c>
      <c r="Q6" s="92" t="s">
        <v>12</v>
      </c>
      <c r="R6" s="92" t="s">
        <v>11</v>
      </c>
      <c r="S6" s="92" t="s">
        <v>12</v>
      </c>
      <c r="T6" s="324"/>
      <c r="U6" s="324"/>
    </row>
    <row r="7" spans="1:22" ht="19.5" customHeight="1" x14ac:dyDescent="0.25">
      <c r="A7" s="93">
        <v>1</v>
      </c>
      <c r="B7" s="93" t="s">
        <v>13</v>
      </c>
      <c r="C7" s="7">
        <v>192.87</v>
      </c>
      <c r="D7" s="7">
        <v>0</v>
      </c>
      <c r="E7" s="7">
        <v>0</v>
      </c>
      <c r="F7" s="7">
        <v>0</v>
      </c>
      <c r="G7" s="7">
        <v>0</v>
      </c>
      <c r="H7" s="7">
        <f>C7+(D7-F7)</f>
        <v>192.87</v>
      </c>
      <c r="I7" s="7">
        <v>338.09</v>
      </c>
      <c r="J7" s="7">
        <v>0.84</v>
      </c>
      <c r="K7" s="7">
        <v>0.84</v>
      </c>
      <c r="L7" s="7">
        <v>0</v>
      </c>
      <c r="M7" s="7">
        <v>0</v>
      </c>
      <c r="N7" s="7">
        <f>I7+(J7-L7)</f>
        <v>338.92999999999995</v>
      </c>
      <c r="O7" s="7">
        <v>19.27</v>
      </c>
      <c r="P7" s="7">
        <v>0</v>
      </c>
      <c r="Q7" s="7">
        <v>0</v>
      </c>
      <c r="R7" s="7">
        <v>0</v>
      </c>
      <c r="S7" s="7">
        <v>0</v>
      </c>
      <c r="T7" s="7">
        <f>O7+(P7-R7)</f>
        <v>19.27</v>
      </c>
      <c r="U7" s="7">
        <f t="shared" ref="U7:U22" si="0">H7+N7+T7</f>
        <v>551.06999999999994</v>
      </c>
    </row>
    <row r="8" spans="1:22" ht="21.75" customHeight="1" x14ac:dyDescent="0.25">
      <c r="A8" s="93">
        <v>2</v>
      </c>
      <c r="B8" s="93" t="s">
        <v>65</v>
      </c>
      <c r="C8" s="7">
        <v>265.93</v>
      </c>
      <c r="D8" s="7">
        <v>1.5</v>
      </c>
      <c r="E8" s="7">
        <v>1.5</v>
      </c>
      <c r="F8" s="7">
        <v>0</v>
      </c>
      <c r="G8" s="7">
        <v>0</v>
      </c>
      <c r="H8" s="7">
        <f t="shared" ref="H8:H47" si="1">C8+(D8-F8)</f>
        <v>267.43</v>
      </c>
      <c r="I8" s="7">
        <v>220.04</v>
      </c>
      <c r="J8" s="7">
        <v>0.02</v>
      </c>
      <c r="K8" s="7">
        <v>0.02</v>
      </c>
      <c r="L8" s="7">
        <v>0</v>
      </c>
      <c r="M8" s="7">
        <v>0</v>
      </c>
      <c r="N8" s="7">
        <f t="shared" ref="N8:N47" si="2">I8+(J8-L8)</f>
        <v>220.06</v>
      </c>
      <c r="O8" s="7">
        <v>51.99</v>
      </c>
      <c r="P8" s="7">
        <v>0</v>
      </c>
      <c r="Q8" s="7">
        <v>0</v>
      </c>
      <c r="R8" s="7">
        <v>0</v>
      </c>
      <c r="S8" s="7">
        <v>0</v>
      </c>
      <c r="T8" s="7">
        <f t="shared" ref="T8:T47" si="3">O8+(P8-R8)</f>
        <v>51.99</v>
      </c>
      <c r="U8" s="7">
        <f t="shared" si="0"/>
        <v>539.48</v>
      </c>
    </row>
    <row r="9" spans="1:22" ht="17.25" customHeight="1" x14ac:dyDescent="0.25">
      <c r="A9" s="93">
        <v>3</v>
      </c>
      <c r="B9" s="93" t="s">
        <v>14</v>
      </c>
      <c r="C9" s="7" t="e">
        <f>#REF!</f>
        <v>#REF!</v>
      </c>
      <c r="D9" s="7">
        <v>0</v>
      </c>
      <c r="E9" s="7">
        <v>0</v>
      </c>
      <c r="F9" s="7">
        <v>0</v>
      </c>
      <c r="G9" s="7">
        <v>0</v>
      </c>
      <c r="H9" s="7" t="e">
        <f t="shared" si="1"/>
        <v>#REF!</v>
      </c>
      <c r="I9" s="7">
        <v>421.24</v>
      </c>
      <c r="J9" s="7">
        <v>0.87</v>
      </c>
      <c r="K9" s="7">
        <v>0.87</v>
      </c>
      <c r="L9" s="7">
        <v>0</v>
      </c>
      <c r="M9" s="7">
        <v>0</v>
      </c>
      <c r="N9" s="7">
        <f t="shared" si="2"/>
        <v>422.11</v>
      </c>
      <c r="O9" s="7">
        <v>44.81</v>
      </c>
      <c r="P9" s="100">
        <f>0.05+49.16</f>
        <v>49.209999999999994</v>
      </c>
      <c r="Q9" s="7">
        <v>0.05</v>
      </c>
      <c r="R9" s="7">
        <v>0</v>
      </c>
      <c r="S9" s="7">
        <v>0</v>
      </c>
      <c r="T9" s="7">
        <f t="shared" si="3"/>
        <v>94.02</v>
      </c>
      <c r="U9" s="7" t="e">
        <f t="shared" si="0"/>
        <v>#REF!</v>
      </c>
    </row>
    <row r="10" spans="1:22" s="16" customFormat="1" ht="19.5" customHeight="1" x14ac:dyDescent="0.25">
      <c r="A10" s="93">
        <v>4</v>
      </c>
      <c r="B10" s="89" t="s">
        <v>15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1"/>
        <v>0</v>
      </c>
      <c r="I10" s="7">
        <v>346.99</v>
      </c>
      <c r="J10" s="7">
        <v>0</v>
      </c>
      <c r="K10" s="7">
        <v>0</v>
      </c>
      <c r="L10" s="7">
        <v>0</v>
      </c>
      <c r="M10" s="7">
        <v>0</v>
      </c>
      <c r="N10" s="7">
        <f t="shared" si="2"/>
        <v>346.99</v>
      </c>
      <c r="O10" s="7">
        <v>0.2</v>
      </c>
      <c r="P10" s="7">
        <v>0</v>
      </c>
      <c r="Q10" s="7">
        <v>0</v>
      </c>
      <c r="R10" s="7">
        <v>0</v>
      </c>
      <c r="S10" s="7">
        <v>0</v>
      </c>
      <c r="T10" s="7">
        <f t="shared" si="3"/>
        <v>0.2</v>
      </c>
      <c r="U10" s="7">
        <f t="shared" si="0"/>
        <v>347.19</v>
      </c>
      <c r="V10" s="14"/>
    </row>
    <row r="11" spans="1:22" ht="25.5" customHeight="1" x14ac:dyDescent="0.25">
      <c r="A11" s="92"/>
      <c r="B11" s="87" t="s">
        <v>16</v>
      </c>
      <c r="C11" s="55" t="e">
        <f>SUM(C7:C10)</f>
        <v>#REF!</v>
      </c>
      <c r="D11" s="14">
        <f>SUM(D7:D10)</f>
        <v>1.5</v>
      </c>
      <c r="E11" s="14">
        <f>SUM(E7:E10)</f>
        <v>1.5</v>
      </c>
      <c r="F11" s="14">
        <f>SUM(F7:F10)</f>
        <v>0</v>
      </c>
      <c r="G11" s="14">
        <f>SUM(G7:G10)</f>
        <v>0</v>
      </c>
      <c r="H11" s="55" t="e">
        <f t="shared" si="1"/>
        <v>#REF!</v>
      </c>
      <c r="I11" s="55">
        <f>SUM(I7:I10)</f>
        <v>1326.3600000000001</v>
      </c>
      <c r="J11" s="14">
        <f t="shared" ref="J11:S11" si="4">SUM(J7:J10)</f>
        <v>1.73</v>
      </c>
      <c r="K11" s="14">
        <f t="shared" si="4"/>
        <v>1.73</v>
      </c>
      <c r="L11" s="14">
        <f t="shared" si="4"/>
        <v>0</v>
      </c>
      <c r="M11" s="14">
        <f t="shared" si="4"/>
        <v>0</v>
      </c>
      <c r="N11" s="55">
        <f t="shared" si="2"/>
        <v>1328.0900000000001</v>
      </c>
      <c r="O11" s="55">
        <f>SUM(O7:O10)</f>
        <v>116.27000000000001</v>
      </c>
      <c r="P11" s="14">
        <f t="shared" si="4"/>
        <v>49.209999999999994</v>
      </c>
      <c r="Q11" s="14">
        <f t="shared" si="4"/>
        <v>0.05</v>
      </c>
      <c r="R11" s="14">
        <f t="shared" si="4"/>
        <v>0</v>
      </c>
      <c r="S11" s="14">
        <f t="shared" si="4"/>
        <v>0</v>
      </c>
      <c r="T11" s="55">
        <f t="shared" si="3"/>
        <v>165.48000000000002</v>
      </c>
      <c r="U11" s="55" t="e">
        <f t="shared" si="0"/>
        <v>#REF!</v>
      </c>
    </row>
    <row r="12" spans="1:22" ht="19.5" customHeight="1" x14ac:dyDescent="0.25">
      <c r="A12" s="93">
        <v>5</v>
      </c>
      <c r="B12" s="93" t="s">
        <v>17</v>
      </c>
      <c r="C12" s="7">
        <v>567.24</v>
      </c>
      <c r="D12" s="7">
        <v>0</v>
      </c>
      <c r="E12" s="7">
        <v>0</v>
      </c>
      <c r="F12" s="7">
        <v>0</v>
      </c>
      <c r="G12" s="7">
        <v>0</v>
      </c>
      <c r="H12" s="7">
        <f t="shared" si="1"/>
        <v>567.24</v>
      </c>
      <c r="I12" s="7">
        <v>675.76</v>
      </c>
      <c r="J12" s="7">
        <v>0.97</v>
      </c>
      <c r="K12" s="7">
        <v>0.97</v>
      </c>
      <c r="L12" s="7">
        <v>0</v>
      </c>
      <c r="M12" s="7">
        <v>0</v>
      </c>
      <c r="N12" s="7">
        <f t="shared" si="2"/>
        <v>676.73</v>
      </c>
      <c r="O12" s="7">
        <v>40.86</v>
      </c>
      <c r="P12" s="7">
        <v>0</v>
      </c>
      <c r="Q12" s="7">
        <v>0</v>
      </c>
      <c r="R12" s="7">
        <v>0</v>
      </c>
      <c r="S12" s="7">
        <v>0</v>
      </c>
      <c r="T12" s="7">
        <f t="shared" si="3"/>
        <v>40.86</v>
      </c>
      <c r="U12" s="7">
        <f t="shared" si="0"/>
        <v>1284.83</v>
      </c>
    </row>
    <row r="13" spans="1:22" ht="21" customHeight="1" x14ac:dyDescent="0.25">
      <c r="A13" s="93">
        <v>6</v>
      </c>
      <c r="B13" s="93" t="s">
        <v>18</v>
      </c>
      <c r="C13" s="7" t="e">
        <f>#REF!</f>
        <v>#REF!</v>
      </c>
      <c r="D13" s="7">
        <v>0.74</v>
      </c>
      <c r="E13" s="7">
        <v>0.74</v>
      </c>
      <c r="F13" s="7">
        <v>0</v>
      </c>
      <c r="G13" s="7">
        <v>0</v>
      </c>
      <c r="H13" s="7" t="e">
        <f t="shared" si="1"/>
        <v>#REF!</v>
      </c>
      <c r="I13" s="7">
        <v>481.37</v>
      </c>
      <c r="J13" s="7">
        <v>0.24</v>
      </c>
      <c r="K13" s="7">
        <v>0.24</v>
      </c>
      <c r="L13" s="7">
        <v>0</v>
      </c>
      <c r="M13" s="7">
        <v>0</v>
      </c>
      <c r="N13" s="7">
        <f t="shared" si="2"/>
        <v>481.61</v>
      </c>
      <c r="O13" s="7">
        <v>23.08</v>
      </c>
      <c r="P13" s="100">
        <f>0.14+49.16</f>
        <v>49.3</v>
      </c>
      <c r="Q13" s="7">
        <v>0.14000000000000001</v>
      </c>
      <c r="R13" s="7">
        <v>0</v>
      </c>
      <c r="S13" s="7">
        <v>0</v>
      </c>
      <c r="T13" s="7">
        <f t="shared" si="3"/>
        <v>72.38</v>
      </c>
      <c r="U13" s="7" t="e">
        <f t="shared" si="0"/>
        <v>#REF!</v>
      </c>
    </row>
    <row r="14" spans="1:22" s="16" customFormat="1" ht="19.5" customHeight="1" x14ac:dyDescent="0.25">
      <c r="A14" s="93">
        <v>7</v>
      </c>
      <c r="B14" s="93" t="s">
        <v>19</v>
      </c>
      <c r="C14" s="7" t="e">
        <f>#REF!</f>
        <v>#REF!</v>
      </c>
      <c r="D14" s="7">
        <v>1.75</v>
      </c>
      <c r="E14" s="7">
        <v>1.75</v>
      </c>
      <c r="F14" s="7">
        <v>0</v>
      </c>
      <c r="G14" s="7">
        <v>0</v>
      </c>
      <c r="H14" s="7" t="e">
        <f t="shared" si="1"/>
        <v>#REF!</v>
      </c>
      <c r="I14" s="7" t="e">
        <f>#REF!</f>
        <v>#REF!</v>
      </c>
      <c r="J14" s="7">
        <v>1.72</v>
      </c>
      <c r="K14" s="7">
        <v>1.72</v>
      </c>
      <c r="L14" s="7">
        <v>0</v>
      </c>
      <c r="M14" s="7">
        <v>0</v>
      </c>
      <c r="N14" s="7" t="e">
        <f t="shared" si="2"/>
        <v>#REF!</v>
      </c>
      <c r="O14" s="7">
        <v>66.510000000000005</v>
      </c>
      <c r="P14" s="7">
        <v>0</v>
      </c>
      <c r="Q14" s="7">
        <v>0</v>
      </c>
      <c r="R14" s="7">
        <v>0</v>
      </c>
      <c r="S14" s="7">
        <v>0</v>
      </c>
      <c r="T14" s="7">
        <f t="shared" si="3"/>
        <v>66.510000000000005</v>
      </c>
      <c r="U14" s="7" t="e">
        <f t="shared" si="0"/>
        <v>#REF!</v>
      </c>
      <c r="V14" s="94"/>
    </row>
    <row r="15" spans="1:22" ht="21" customHeight="1" x14ac:dyDescent="0.25">
      <c r="A15" s="92"/>
      <c r="B15" s="87" t="s">
        <v>20</v>
      </c>
      <c r="C15" s="55" t="e">
        <f>SUM(C12:C14)</f>
        <v>#REF!</v>
      </c>
      <c r="D15" s="14">
        <f>SUM(D12:D14)</f>
        <v>2.4900000000000002</v>
      </c>
      <c r="E15" s="14">
        <f>SUM(E12:E14)</f>
        <v>2.4900000000000002</v>
      </c>
      <c r="F15" s="14">
        <f>SUM(F12:F14)</f>
        <v>0</v>
      </c>
      <c r="G15" s="14">
        <f>SUM(G12:G14)</f>
        <v>0</v>
      </c>
      <c r="H15" s="55" t="e">
        <f>C15+(D15-F15)</f>
        <v>#REF!</v>
      </c>
      <c r="I15" s="55" t="e">
        <f>SUM(I12:I14)</f>
        <v>#REF!</v>
      </c>
      <c r="J15" s="14">
        <f>J14+J13+J12</f>
        <v>2.9299999999999997</v>
      </c>
      <c r="K15" s="14">
        <f>K14+K13+K12</f>
        <v>2.9299999999999997</v>
      </c>
      <c r="L15" s="14">
        <f t="shared" ref="L15:S15" si="5">L14+L13+L12</f>
        <v>0</v>
      </c>
      <c r="M15" s="14">
        <f t="shared" si="5"/>
        <v>0</v>
      </c>
      <c r="N15" s="55" t="e">
        <f t="shared" si="2"/>
        <v>#REF!</v>
      </c>
      <c r="O15" s="55">
        <f>SUM(O12:O14)</f>
        <v>130.44999999999999</v>
      </c>
      <c r="P15" s="14">
        <f t="shared" si="5"/>
        <v>49.3</v>
      </c>
      <c r="Q15" s="14">
        <f t="shared" si="5"/>
        <v>0.14000000000000001</v>
      </c>
      <c r="R15" s="14">
        <f t="shared" si="5"/>
        <v>0</v>
      </c>
      <c r="S15" s="14">
        <f t="shared" si="5"/>
        <v>0</v>
      </c>
      <c r="T15" s="55">
        <f t="shared" si="3"/>
        <v>179.75</v>
      </c>
      <c r="U15" s="55" t="e">
        <f t="shared" si="0"/>
        <v>#REF!</v>
      </c>
    </row>
    <row r="16" spans="1:22" s="24" customFormat="1" ht="21.75" customHeight="1" x14ac:dyDescent="0.25">
      <c r="A16" s="93">
        <v>8</v>
      </c>
      <c r="B16" s="93" t="s">
        <v>21</v>
      </c>
      <c r="C16" s="7">
        <v>968.202</v>
      </c>
      <c r="D16" s="7">
        <v>0</v>
      </c>
      <c r="E16" s="7">
        <v>0</v>
      </c>
      <c r="F16" s="7">
        <v>0</v>
      </c>
      <c r="G16" s="7">
        <v>0</v>
      </c>
      <c r="H16" s="7">
        <f t="shared" si="1"/>
        <v>968.202</v>
      </c>
      <c r="I16" s="7">
        <v>76.02</v>
      </c>
      <c r="J16" s="7">
        <v>0.8</v>
      </c>
      <c r="K16" s="7">
        <v>0.8</v>
      </c>
      <c r="L16" s="7">
        <v>0</v>
      </c>
      <c r="M16" s="7">
        <v>0</v>
      </c>
      <c r="N16" s="7">
        <f t="shared" si="2"/>
        <v>76.819999999999993</v>
      </c>
      <c r="O16" s="7">
        <v>246.57</v>
      </c>
      <c r="P16" s="7">
        <v>0</v>
      </c>
      <c r="Q16" s="7">
        <v>0</v>
      </c>
      <c r="R16" s="7">
        <v>0</v>
      </c>
      <c r="S16" s="7">
        <v>0</v>
      </c>
      <c r="T16" s="7">
        <f t="shared" si="3"/>
        <v>246.57</v>
      </c>
      <c r="U16" s="7">
        <f t="shared" si="0"/>
        <v>1291.5919999999999</v>
      </c>
    </row>
    <row r="17" spans="1:22" ht="21.75" customHeight="1" x14ac:dyDescent="0.25">
      <c r="A17" s="86">
        <v>9</v>
      </c>
      <c r="B17" s="90" t="s">
        <v>22</v>
      </c>
      <c r="C17" s="20">
        <v>197.16</v>
      </c>
      <c r="D17" s="20">
        <v>0.2</v>
      </c>
      <c r="E17" s="7">
        <v>0.2</v>
      </c>
      <c r="F17" s="20">
        <v>0</v>
      </c>
      <c r="G17" s="7">
        <v>0</v>
      </c>
      <c r="H17" s="20">
        <f t="shared" si="1"/>
        <v>197.35999999999999</v>
      </c>
      <c r="I17" s="20">
        <v>317.48</v>
      </c>
      <c r="J17" s="20">
        <v>0</v>
      </c>
      <c r="K17" s="7">
        <v>0</v>
      </c>
      <c r="L17" s="20">
        <v>0</v>
      </c>
      <c r="M17" s="7">
        <v>0</v>
      </c>
      <c r="N17" s="20">
        <f t="shared" si="2"/>
        <v>317.48</v>
      </c>
      <c r="O17" s="20">
        <v>18.649999999999999</v>
      </c>
      <c r="P17" s="101">
        <f>0.23+49.16</f>
        <v>49.389999999999993</v>
      </c>
      <c r="Q17" s="7">
        <v>0.23</v>
      </c>
      <c r="R17" s="7">
        <v>0</v>
      </c>
      <c r="S17" s="7">
        <v>0</v>
      </c>
      <c r="T17" s="20">
        <f t="shared" si="3"/>
        <v>68.039999999999992</v>
      </c>
      <c r="U17" s="7">
        <f t="shared" si="0"/>
        <v>582.88</v>
      </c>
    </row>
    <row r="18" spans="1:22" s="16" customFormat="1" ht="19.5" customHeight="1" x14ac:dyDescent="0.25">
      <c r="A18" s="93">
        <v>10</v>
      </c>
      <c r="B18" s="89" t="s">
        <v>23</v>
      </c>
      <c r="C18" s="7">
        <v>188.01499999999999</v>
      </c>
      <c r="D18" s="7">
        <v>0.03</v>
      </c>
      <c r="E18" s="7">
        <v>0.03</v>
      </c>
      <c r="F18" s="7">
        <v>0</v>
      </c>
      <c r="G18" s="7">
        <v>0</v>
      </c>
      <c r="H18" s="7">
        <f t="shared" si="1"/>
        <v>188.04499999999999</v>
      </c>
      <c r="I18" s="7">
        <v>326.55</v>
      </c>
      <c r="J18" s="7">
        <v>0.41</v>
      </c>
      <c r="K18" s="7">
        <v>0.41</v>
      </c>
      <c r="L18" s="7">
        <v>0</v>
      </c>
      <c r="M18" s="7">
        <v>0</v>
      </c>
      <c r="N18" s="7">
        <f t="shared" si="2"/>
        <v>326.96000000000004</v>
      </c>
      <c r="O18" s="7">
        <v>38.869999999999997</v>
      </c>
      <c r="P18" s="7">
        <v>0</v>
      </c>
      <c r="Q18" s="7">
        <v>0</v>
      </c>
      <c r="R18" s="7">
        <v>0</v>
      </c>
      <c r="S18" s="7">
        <v>0</v>
      </c>
      <c r="T18" s="7">
        <f t="shared" si="3"/>
        <v>38.869999999999997</v>
      </c>
      <c r="U18" s="7">
        <f t="shared" si="0"/>
        <v>553.875</v>
      </c>
      <c r="V18" s="94"/>
    </row>
    <row r="19" spans="1:22" ht="19.5" customHeight="1" x14ac:dyDescent="0.25">
      <c r="A19" s="92"/>
      <c r="B19" s="87" t="s">
        <v>24</v>
      </c>
      <c r="C19" s="55">
        <f>SUM(C16:C18)</f>
        <v>1353.377</v>
      </c>
      <c r="D19" s="14">
        <f>SUM(D16:D18)</f>
        <v>0.23</v>
      </c>
      <c r="E19" s="14">
        <f>SUM(E16:E18)</f>
        <v>0.23</v>
      </c>
      <c r="F19" s="14">
        <v>0</v>
      </c>
      <c r="G19" s="14">
        <v>0</v>
      </c>
      <c r="H19" s="55">
        <f t="shared" si="1"/>
        <v>1353.607</v>
      </c>
      <c r="I19" s="55">
        <f>SUM(I16:I18)</f>
        <v>720.05</v>
      </c>
      <c r="J19" s="14">
        <f>J16+J17+J18</f>
        <v>1.21</v>
      </c>
      <c r="K19" s="14">
        <f t="shared" ref="K19:S19" si="6">K16+K17+K18</f>
        <v>1.21</v>
      </c>
      <c r="L19" s="14">
        <f t="shared" si="6"/>
        <v>0</v>
      </c>
      <c r="M19" s="14">
        <v>0</v>
      </c>
      <c r="N19" s="55">
        <f t="shared" si="2"/>
        <v>721.26</v>
      </c>
      <c r="O19" s="55">
        <f>SUM(O16:O18)</f>
        <v>304.08999999999997</v>
      </c>
      <c r="P19" s="14">
        <f t="shared" si="6"/>
        <v>49.389999999999993</v>
      </c>
      <c r="Q19" s="14">
        <f t="shared" si="6"/>
        <v>0.23</v>
      </c>
      <c r="R19" s="14">
        <f t="shared" si="6"/>
        <v>0</v>
      </c>
      <c r="S19" s="14">
        <f t="shared" si="6"/>
        <v>0</v>
      </c>
      <c r="T19" s="55">
        <f t="shared" si="3"/>
        <v>353.47999999999996</v>
      </c>
      <c r="U19" s="55">
        <f t="shared" si="0"/>
        <v>2428.3470000000002</v>
      </c>
    </row>
    <row r="20" spans="1:22" ht="21" customHeight="1" x14ac:dyDescent="0.25">
      <c r="A20" s="93">
        <v>11</v>
      </c>
      <c r="B20" s="93" t="s">
        <v>25</v>
      </c>
      <c r="C20" s="7">
        <v>749.14</v>
      </c>
      <c r="D20" s="7">
        <v>0.93</v>
      </c>
      <c r="E20" s="7">
        <v>0.93</v>
      </c>
      <c r="F20" s="7">
        <v>0.1</v>
      </c>
      <c r="G20" s="7">
        <v>0.1</v>
      </c>
      <c r="H20" s="7">
        <f t="shared" si="1"/>
        <v>749.97</v>
      </c>
      <c r="I20" s="7">
        <v>350.28</v>
      </c>
      <c r="J20" s="7">
        <v>0.47</v>
      </c>
      <c r="K20" s="7">
        <v>0.47</v>
      </c>
      <c r="L20" s="7">
        <v>0</v>
      </c>
      <c r="M20" s="7">
        <v>0</v>
      </c>
      <c r="N20" s="7">
        <f t="shared" si="2"/>
        <v>350.75</v>
      </c>
      <c r="O20" s="7">
        <v>40.74</v>
      </c>
      <c r="P20" s="7">
        <v>0</v>
      </c>
      <c r="Q20" s="7">
        <v>0</v>
      </c>
      <c r="R20" s="7">
        <v>0</v>
      </c>
      <c r="S20" s="7">
        <v>0</v>
      </c>
      <c r="T20" s="7">
        <f t="shared" si="3"/>
        <v>40.74</v>
      </c>
      <c r="U20" s="7">
        <f t="shared" si="0"/>
        <v>1141.46</v>
      </c>
    </row>
    <row r="21" spans="1:22" ht="17.25" customHeight="1" x14ac:dyDescent="0.25">
      <c r="A21" s="93">
        <v>12</v>
      </c>
      <c r="B21" s="93" t="s">
        <v>26</v>
      </c>
      <c r="C21" s="7">
        <v>119.97</v>
      </c>
      <c r="D21" s="7">
        <v>0.54</v>
      </c>
      <c r="E21" s="7">
        <v>0.54</v>
      </c>
      <c r="F21" s="7">
        <v>0</v>
      </c>
      <c r="G21" s="7">
        <v>0</v>
      </c>
      <c r="H21" s="7">
        <f t="shared" si="1"/>
        <v>120.51</v>
      </c>
      <c r="I21" s="7">
        <v>379.89</v>
      </c>
      <c r="J21" s="7">
        <v>0.53</v>
      </c>
      <c r="K21" s="7">
        <v>0.53</v>
      </c>
      <c r="L21" s="7">
        <v>0</v>
      </c>
      <c r="M21" s="7">
        <v>0</v>
      </c>
      <c r="N21" s="7">
        <f t="shared" si="2"/>
        <v>380.41999999999996</v>
      </c>
      <c r="O21" s="7">
        <v>39.15</v>
      </c>
      <c r="P21" s="7">
        <v>0</v>
      </c>
      <c r="Q21" s="7">
        <v>0</v>
      </c>
      <c r="R21" s="7">
        <v>0</v>
      </c>
      <c r="S21" s="7">
        <v>0</v>
      </c>
      <c r="T21" s="7">
        <f t="shared" si="3"/>
        <v>39.15</v>
      </c>
      <c r="U21" s="7">
        <f t="shared" si="0"/>
        <v>540.07999999999993</v>
      </c>
    </row>
    <row r="22" spans="1:22" s="16" customFormat="1" ht="25.5" customHeight="1" x14ac:dyDescent="0.25">
      <c r="A22" s="93">
        <v>13</v>
      </c>
      <c r="B22" s="93" t="s">
        <v>27</v>
      </c>
      <c r="C22" s="7">
        <v>449.91</v>
      </c>
      <c r="D22" s="7">
        <v>0.21</v>
      </c>
      <c r="E22" s="7">
        <v>0.21</v>
      </c>
      <c r="F22" s="7">
        <v>0</v>
      </c>
      <c r="G22" s="7">
        <v>0</v>
      </c>
      <c r="H22" s="7">
        <f t="shared" si="1"/>
        <v>450.12</v>
      </c>
      <c r="I22" s="7">
        <v>174.26</v>
      </c>
      <c r="J22" s="7">
        <v>0</v>
      </c>
      <c r="K22" s="7">
        <v>0</v>
      </c>
      <c r="L22" s="7">
        <v>0</v>
      </c>
      <c r="M22" s="7">
        <v>0</v>
      </c>
      <c r="N22" s="7">
        <f t="shared" si="2"/>
        <v>174.26</v>
      </c>
      <c r="O22" s="7">
        <v>15.3</v>
      </c>
      <c r="P22" s="7">
        <v>0</v>
      </c>
      <c r="Q22" s="7">
        <v>0</v>
      </c>
      <c r="R22" s="7">
        <v>0</v>
      </c>
      <c r="S22" s="7">
        <v>0</v>
      </c>
      <c r="T22" s="7">
        <f t="shared" si="3"/>
        <v>15.3</v>
      </c>
      <c r="U22" s="7">
        <f t="shared" si="0"/>
        <v>639.67999999999995</v>
      </c>
      <c r="V22" s="94"/>
    </row>
    <row r="23" spans="1:22" s="16" customFormat="1" ht="19.5" customHeight="1" x14ac:dyDescent="0.25">
      <c r="A23" s="92"/>
      <c r="B23" s="87" t="s">
        <v>28</v>
      </c>
      <c r="C23" s="14">
        <f>SUM(C20:C22)</f>
        <v>1319.02</v>
      </c>
      <c r="D23" s="14">
        <f>SUM(D20:D22)</f>
        <v>1.6800000000000002</v>
      </c>
      <c r="E23" s="14">
        <f>SUM(E20:E22)</f>
        <v>1.6800000000000002</v>
      </c>
      <c r="F23" s="14">
        <f>SUM(F20:F22)</f>
        <v>0.1</v>
      </c>
      <c r="G23" s="14">
        <f>SUM(G20:G22)</f>
        <v>0.1</v>
      </c>
      <c r="H23" s="55">
        <f t="shared" si="1"/>
        <v>1320.6</v>
      </c>
      <c r="I23" s="14">
        <f>SUM(I20:I22)</f>
        <v>904.43</v>
      </c>
      <c r="J23" s="14">
        <f>SUM(J20:J22)</f>
        <v>1</v>
      </c>
      <c r="K23" s="14">
        <f>SUM(K20:K22)</f>
        <v>1</v>
      </c>
      <c r="L23" s="14">
        <f>SUM(L20:L22)</f>
        <v>0</v>
      </c>
      <c r="M23" s="14">
        <f>SUM(M20:M22)</f>
        <v>0</v>
      </c>
      <c r="N23" s="55">
        <f t="shared" si="2"/>
        <v>905.43</v>
      </c>
      <c r="O23" s="14">
        <f>SUM(O20:O22)</f>
        <v>95.19</v>
      </c>
      <c r="P23" s="14">
        <f>SUM(P20:P22)</f>
        <v>0</v>
      </c>
      <c r="Q23" s="14">
        <f>SUM(Q20:Q22)</f>
        <v>0</v>
      </c>
      <c r="R23" s="14">
        <f>SUM(R20:R22)</f>
        <v>0</v>
      </c>
      <c r="S23" s="14">
        <f>SUM(S20:S22)</f>
        <v>0</v>
      </c>
      <c r="T23" s="55">
        <f t="shared" si="3"/>
        <v>95.19</v>
      </c>
      <c r="U23" s="14">
        <f t="shared" ref="U23:U47" si="7">H23+N23+T23</f>
        <v>2321.2199999999998</v>
      </c>
      <c r="V23" s="94"/>
    </row>
    <row r="24" spans="1:22" ht="18" customHeight="1" x14ac:dyDescent="0.25">
      <c r="A24" s="92"/>
      <c r="B24" s="92" t="s">
        <v>29</v>
      </c>
      <c r="C24" s="14" t="e">
        <f t="shared" ref="C24:U24" si="8">C23+C19+C15+C11</f>
        <v>#REF!</v>
      </c>
      <c r="D24" s="14">
        <f t="shared" si="8"/>
        <v>5.9</v>
      </c>
      <c r="E24" s="14">
        <f t="shared" si="8"/>
        <v>5.9</v>
      </c>
      <c r="F24" s="14">
        <f t="shared" si="8"/>
        <v>0.1</v>
      </c>
      <c r="G24" s="14">
        <f t="shared" si="8"/>
        <v>0.1</v>
      </c>
      <c r="H24" s="14" t="e">
        <f t="shared" si="8"/>
        <v>#REF!</v>
      </c>
      <c r="I24" s="14" t="e">
        <f t="shared" si="8"/>
        <v>#REF!</v>
      </c>
      <c r="J24" s="14">
        <f t="shared" si="8"/>
        <v>6.8699999999999992</v>
      </c>
      <c r="K24" s="14">
        <f t="shared" si="8"/>
        <v>6.8699999999999992</v>
      </c>
      <c r="L24" s="14">
        <f t="shared" si="8"/>
        <v>0</v>
      </c>
      <c r="M24" s="14">
        <f t="shared" si="8"/>
        <v>0</v>
      </c>
      <c r="N24" s="14" t="e">
        <f t="shared" si="8"/>
        <v>#REF!</v>
      </c>
      <c r="O24" s="14">
        <f t="shared" si="8"/>
        <v>646</v>
      </c>
      <c r="P24" s="14">
        <f t="shared" si="8"/>
        <v>147.89999999999998</v>
      </c>
      <c r="Q24" s="14">
        <f t="shared" si="8"/>
        <v>0.42</v>
      </c>
      <c r="R24" s="14">
        <f t="shared" si="8"/>
        <v>0</v>
      </c>
      <c r="S24" s="14">
        <f t="shared" si="8"/>
        <v>0</v>
      </c>
      <c r="T24" s="14">
        <f t="shared" si="8"/>
        <v>793.9</v>
      </c>
      <c r="U24" s="14" t="e">
        <f t="shared" si="8"/>
        <v>#REF!</v>
      </c>
    </row>
    <row r="25" spans="1:22" ht="27" customHeight="1" x14ac:dyDescent="0.25">
      <c r="A25" s="93">
        <v>15</v>
      </c>
      <c r="B25" s="89" t="s">
        <v>30</v>
      </c>
      <c r="C25" s="7">
        <v>4000.8</v>
      </c>
      <c r="D25" s="7">
        <v>51.37</v>
      </c>
      <c r="E25" s="7">
        <v>51.37</v>
      </c>
      <c r="F25" s="7">
        <v>0</v>
      </c>
      <c r="G25" s="7">
        <v>0</v>
      </c>
      <c r="H25" s="7">
        <f t="shared" si="1"/>
        <v>4052.17</v>
      </c>
      <c r="I25" s="7">
        <v>55.4</v>
      </c>
      <c r="J25" s="7">
        <v>0</v>
      </c>
      <c r="K25" s="7">
        <v>0</v>
      </c>
      <c r="L25" s="7">
        <v>0</v>
      </c>
      <c r="M25" s="7">
        <v>0</v>
      </c>
      <c r="N25" s="7">
        <f t="shared" si="2"/>
        <v>55.4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f t="shared" si="3"/>
        <v>0</v>
      </c>
      <c r="U25" s="7">
        <f t="shared" si="7"/>
        <v>4107.57</v>
      </c>
    </row>
    <row r="26" spans="1:22" s="16" customFormat="1" ht="19.5" customHeight="1" x14ac:dyDescent="0.25">
      <c r="A26" s="93">
        <v>16</v>
      </c>
      <c r="B26" s="93" t="s">
        <v>31</v>
      </c>
      <c r="C26" s="91">
        <v>4869.3599999999997</v>
      </c>
      <c r="D26" s="7">
        <v>6.63</v>
      </c>
      <c r="E26" s="7">
        <v>6.63</v>
      </c>
      <c r="F26" s="7">
        <v>0</v>
      </c>
      <c r="G26" s="7">
        <v>0</v>
      </c>
      <c r="H26" s="7">
        <f t="shared" si="1"/>
        <v>4875.99</v>
      </c>
      <c r="I26" s="7">
        <v>518.59</v>
      </c>
      <c r="J26" s="7">
        <v>0.32</v>
      </c>
      <c r="K26" s="7">
        <v>0.32</v>
      </c>
      <c r="L26" s="7">
        <v>0</v>
      </c>
      <c r="M26" s="7">
        <v>0</v>
      </c>
      <c r="N26" s="7">
        <f t="shared" si="2"/>
        <v>518.91000000000008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f t="shared" si="3"/>
        <v>0</v>
      </c>
      <c r="U26" s="7">
        <f t="shared" si="7"/>
        <v>5394.9</v>
      </c>
      <c r="V26" s="94"/>
    </row>
    <row r="27" spans="1:22" ht="19.5" customHeight="1" x14ac:dyDescent="0.25">
      <c r="A27" s="92"/>
      <c r="B27" s="87" t="s">
        <v>32</v>
      </c>
      <c r="C27" s="55">
        <f>SUM(C25:C26)</f>
        <v>8870.16</v>
      </c>
      <c r="D27" s="14">
        <f>D26+D25</f>
        <v>58</v>
      </c>
      <c r="E27" s="14">
        <f>E26+E25</f>
        <v>58</v>
      </c>
      <c r="F27" s="14">
        <f>F26+F25</f>
        <v>0</v>
      </c>
      <c r="G27" s="14">
        <f>G26+G25</f>
        <v>0</v>
      </c>
      <c r="H27" s="55">
        <f>C27+(D27-F27)</f>
        <v>8928.16</v>
      </c>
      <c r="I27" s="55">
        <f>SUM(I25:I26)</f>
        <v>573.99</v>
      </c>
      <c r="J27" s="14">
        <f>J26+J25</f>
        <v>0.32</v>
      </c>
      <c r="K27" s="14">
        <f>K26+K25</f>
        <v>0.32</v>
      </c>
      <c r="L27" s="14">
        <f t="shared" ref="L27:S27" si="9">L26+L25</f>
        <v>0</v>
      </c>
      <c r="M27" s="14">
        <f t="shared" si="9"/>
        <v>0</v>
      </c>
      <c r="N27" s="55">
        <f t="shared" si="2"/>
        <v>574.31000000000006</v>
      </c>
      <c r="O27" s="14">
        <f>SUM(O25:O26)</f>
        <v>0</v>
      </c>
      <c r="P27" s="14">
        <f t="shared" si="9"/>
        <v>0</v>
      </c>
      <c r="Q27" s="14">
        <f t="shared" si="9"/>
        <v>0</v>
      </c>
      <c r="R27" s="14">
        <f t="shared" si="9"/>
        <v>0</v>
      </c>
      <c r="S27" s="14">
        <f t="shared" si="9"/>
        <v>0</v>
      </c>
      <c r="T27" s="14">
        <f t="shared" si="3"/>
        <v>0</v>
      </c>
      <c r="U27" s="14">
        <f t="shared" si="7"/>
        <v>9502.4699999999993</v>
      </c>
    </row>
    <row r="28" spans="1:22" ht="21.75" customHeight="1" x14ac:dyDescent="0.25">
      <c r="A28" s="93">
        <v>17</v>
      </c>
      <c r="B28" s="89" t="s">
        <v>33</v>
      </c>
      <c r="C28" s="7">
        <v>2978.1</v>
      </c>
      <c r="D28" s="7">
        <v>21.75</v>
      </c>
      <c r="E28" s="7">
        <v>21.75</v>
      </c>
      <c r="F28" s="7">
        <v>0</v>
      </c>
      <c r="G28" s="7">
        <v>0</v>
      </c>
      <c r="H28" s="7">
        <f t="shared" si="1"/>
        <v>2999.85</v>
      </c>
      <c r="I28" s="7">
        <v>1.25</v>
      </c>
      <c r="J28" s="7">
        <v>0</v>
      </c>
      <c r="K28" s="7">
        <v>0</v>
      </c>
      <c r="L28" s="7">
        <v>0</v>
      </c>
      <c r="M28" s="7">
        <v>0</v>
      </c>
      <c r="N28" s="7">
        <f t="shared" si="2"/>
        <v>1.25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f t="shared" si="3"/>
        <v>0</v>
      </c>
      <c r="U28" s="7">
        <f t="shared" si="7"/>
        <v>3001.1</v>
      </c>
    </row>
    <row r="29" spans="1:22" ht="20.25" customHeight="1" x14ac:dyDescent="0.25">
      <c r="A29" s="93">
        <v>18</v>
      </c>
      <c r="B29" s="89" t="s">
        <v>64</v>
      </c>
      <c r="C29" s="7">
        <v>3034.84</v>
      </c>
      <c r="D29" s="7">
        <v>22.02</v>
      </c>
      <c r="E29" s="7">
        <v>22.02</v>
      </c>
      <c r="F29" s="7">
        <v>0</v>
      </c>
      <c r="G29" s="7">
        <v>0</v>
      </c>
      <c r="H29" s="7">
        <f t="shared" si="1"/>
        <v>3056.86</v>
      </c>
      <c r="I29" s="7">
        <v>10.039999999999999</v>
      </c>
      <c r="J29" s="7">
        <v>1.6</v>
      </c>
      <c r="K29" s="7">
        <v>1.6</v>
      </c>
      <c r="L29" s="7">
        <v>0</v>
      </c>
      <c r="M29" s="7">
        <v>0</v>
      </c>
      <c r="N29" s="7">
        <f t="shared" si="2"/>
        <v>11.639999999999999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f t="shared" si="3"/>
        <v>0</v>
      </c>
      <c r="U29" s="7">
        <f t="shared" si="7"/>
        <v>3068.5</v>
      </c>
    </row>
    <row r="30" spans="1:22" s="16" customFormat="1" ht="24.75" customHeight="1" x14ac:dyDescent="0.25">
      <c r="A30" s="93">
        <v>19</v>
      </c>
      <c r="B30" s="89" t="s">
        <v>34</v>
      </c>
      <c r="C30" s="7">
        <v>3800.72</v>
      </c>
      <c r="D30" s="7">
        <v>5.57</v>
      </c>
      <c r="E30" s="7">
        <v>5.57</v>
      </c>
      <c r="F30" s="7">
        <v>0</v>
      </c>
      <c r="G30" s="7">
        <v>0</v>
      </c>
      <c r="H30" s="7">
        <f t="shared" si="1"/>
        <v>3806.29</v>
      </c>
      <c r="I30" s="7">
        <v>18.100000000000001</v>
      </c>
      <c r="J30" s="7">
        <v>0</v>
      </c>
      <c r="K30" s="7">
        <v>0</v>
      </c>
      <c r="L30" s="7">
        <v>0</v>
      </c>
      <c r="M30" s="7">
        <v>0</v>
      </c>
      <c r="N30" s="7">
        <f t="shared" si="2"/>
        <v>18.100000000000001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f t="shared" si="3"/>
        <v>0</v>
      </c>
      <c r="U30" s="7">
        <f t="shared" si="7"/>
        <v>3824.39</v>
      </c>
      <c r="V30" s="94"/>
    </row>
    <row r="31" spans="1:22" ht="23.25" customHeight="1" x14ac:dyDescent="0.25">
      <c r="A31" s="93">
        <v>20</v>
      </c>
      <c r="B31" s="89" t="s">
        <v>35</v>
      </c>
      <c r="C31" s="7">
        <v>2304.38</v>
      </c>
      <c r="D31" s="7">
        <v>13.3</v>
      </c>
      <c r="E31" s="7">
        <v>13.3</v>
      </c>
      <c r="F31" s="7">
        <v>0</v>
      </c>
      <c r="G31" s="7">
        <v>0</v>
      </c>
      <c r="H31" s="7">
        <f t="shared" si="1"/>
        <v>2317.6800000000003</v>
      </c>
      <c r="I31" s="7">
        <v>285.56</v>
      </c>
      <c r="J31" s="7">
        <v>7.0000000000000007E-2</v>
      </c>
      <c r="K31" s="7">
        <v>7.0000000000000007E-2</v>
      </c>
      <c r="L31" s="7">
        <v>0</v>
      </c>
      <c r="M31" s="7">
        <v>0</v>
      </c>
      <c r="N31" s="7">
        <f t="shared" si="2"/>
        <v>285.63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f t="shared" si="3"/>
        <v>0</v>
      </c>
      <c r="U31" s="7">
        <f t="shared" si="7"/>
        <v>2603.3100000000004</v>
      </c>
    </row>
    <row r="32" spans="1:22" ht="20.25" customHeight="1" x14ac:dyDescent="0.25">
      <c r="A32" s="92"/>
      <c r="B32" s="87" t="s">
        <v>36</v>
      </c>
      <c r="C32" s="55">
        <f>SUM(C28:C31)</f>
        <v>12118.04</v>
      </c>
      <c r="D32" s="14">
        <f>D31+D30+D29+D28</f>
        <v>62.64</v>
      </c>
      <c r="E32" s="14">
        <f>E31+E30+E29+E28</f>
        <v>62.64</v>
      </c>
      <c r="F32" s="14">
        <f>F31+F30+F29+F28</f>
        <v>0</v>
      </c>
      <c r="G32" s="14">
        <f>G31+G30+G29+G28</f>
        <v>0</v>
      </c>
      <c r="H32" s="55">
        <f t="shared" si="1"/>
        <v>12180.68</v>
      </c>
      <c r="I32" s="55">
        <f>SUM(I28:I31)</f>
        <v>314.95</v>
      </c>
      <c r="J32" s="14">
        <f t="shared" ref="J32:S32" si="10">J31+J30+J29+J28</f>
        <v>1.6700000000000002</v>
      </c>
      <c r="K32" s="14">
        <f t="shared" si="10"/>
        <v>1.6700000000000002</v>
      </c>
      <c r="L32" s="14">
        <f t="shared" si="10"/>
        <v>0</v>
      </c>
      <c r="M32" s="14">
        <f t="shared" si="10"/>
        <v>0</v>
      </c>
      <c r="N32" s="55">
        <f t="shared" si="2"/>
        <v>316.62</v>
      </c>
      <c r="O32" s="14">
        <f>SUM(O28:O31)</f>
        <v>0</v>
      </c>
      <c r="P32" s="14">
        <f t="shared" si="10"/>
        <v>0</v>
      </c>
      <c r="Q32" s="14">
        <f t="shared" si="10"/>
        <v>0</v>
      </c>
      <c r="R32" s="14">
        <f t="shared" si="10"/>
        <v>0</v>
      </c>
      <c r="S32" s="14">
        <f t="shared" si="10"/>
        <v>0</v>
      </c>
      <c r="T32" s="14">
        <f t="shared" si="3"/>
        <v>0</v>
      </c>
      <c r="U32" s="14">
        <f t="shared" si="7"/>
        <v>12497.300000000001</v>
      </c>
    </row>
    <row r="33" spans="1:22" ht="21.75" customHeight="1" x14ac:dyDescent="0.25">
      <c r="A33" s="93">
        <v>21</v>
      </c>
      <c r="B33" s="89" t="s">
        <v>37</v>
      </c>
      <c r="C33" s="7">
        <v>4115.8</v>
      </c>
      <c r="D33" s="7">
        <v>4.2699999999999996</v>
      </c>
      <c r="E33" s="7">
        <v>4.2699999999999996</v>
      </c>
      <c r="F33" s="7">
        <v>0</v>
      </c>
      <c r="G33" s="7">
        <v>0</v>
      </c>
      <c r="H33" s="7">
        <f t="shared" si="1"/>
        <v>4120.0700000000006</v>
      </c>
      <c r="I33" s="7">
        <v>3.8</v>
      </c>
      <c r="J33" s="7">
        <v>0</v>
      </c>
      <c r="K33" s="7">
        <v>0</v>
      </c>
      <c r="L33" s="7">
        <v>0</v>
      </c>
      <c r="M33" s="7">
        <v>0</v>
      </c>
      <c r="N33" s="7">
        <f t="shared" si="2"/>
        <v>3.8</v>
      </c>
      <c r="O33" s="7" t="e">
        <f>#REF!</f>
        <v>#REF!</v>
      </c>
      <c r="P33" s="7">
        <v>0</v>
      </c>
      <c r="Q33" s="7">
        <v>0</v>
      </c>
      <c r="R33" s="7">
        <v>0</v>
      </c>
      <c r="S33" s="7">
        <v>0</v>
      </c>
      <c r="T33" s="7" t="e">
        <f t="shared" si="3"/>
        <v>#REF!</v>
      </c>
      <c r="U33" s="7" t="e">
        <f t="shared" si="7"/>
        <v>#REF!</v>
      </c>
    </row>
    <row r="34" spans="1:22" ht="17.25" customHeight="1" x14ac:dyDescent="0.25">
      <c r="A34" s="93">
        <v>22</v>
      </c>
      <c r="B34" s="89" t="s">
        <v>38</v>
      </c>
      <c r="C34" s="7">
        <v>5342.73</v>
      </c>
      <c r="D34" s="7">
        <v>24.33</v>
      </c>
      <c r="E34" s="7">
        <v>24.33</v>
      </c>
      <c r="F34" s="7">
        <v>0</v>
      </c>
      <c r="G34" s="7">
        <v>0</v>
      </c>
      <c r="H34" s="7">
        <f t="shared" si="1"/>
        <v>5367.0599999999995</v>
      </c>
      <c r="I34" s="7">
        <v>2</v>
      </c>
      <c r="J34" s="7">
        <v>0</v>
      </c>
      <c r="K34" s="7">
        <v>0</v>
      </c>
      <c r="L34" s="7">
        <v>0</v>
      </c>
      <c r="M34" s="7">
        <v>0</v>
      </c>
      <c r="N34" s="7">
        <f t="shared" si="2"/>
        <v>2</v>
      </c>
      <c r="O34" s="7" t="e">
        <f>#REF!</f>
        <v>#REF!</v>
      </c>
      <c r="P34" s="7">
        <v>0</v>
      </c>
      <c r="Q34" s="7">
        <v>0</v>
      </c>
      <c r="R34" s="7">
        <v>0</v>
      </c>
      <c r="S34" s="7">
        <v>0</v>
      </c>
      <c r="T34" s="7" t="e">
        <f t="shared" si="3"/>
        <v>#REF!</v>
      </c>
      <c r="U34" s="7" t="e">
        <f t="shared" si="7"/>
        <v>#REF!</v>
      </c>
    </row>
    <row r="35" spans="1:22" s="16" customFormat="1" ht="24" customHeight="1" x14ac:dyDescent="0.25">
      <c r="A35" s="93">
        <v>23</v>
      </c>
      <c r="B35" s="89" t="s">
        <v>39</v>
      </c>
      <c r="C35" s="7">
        <v>2634.14</v>
      </c>
      <c r="D35" s="7">
        <v>2.29</v>
      </c>
      <c r="E35" s="7">
        <v>2.29</v>
      </c>
      <c r="F35" s="7">
        <v>0</v>
      </c>
      <c r="G35" s="7">
        <v>0</v>
      </c>
      <c r="H35" s="7">
        <f t="shared" si="1"/>
        <v>2636.43</v>
      </c>
      <c r="I35" s="7">
        <v>11.33</v>
      </c>
      <c r="J35" s="7">
        <v>0</v>
      </c>
      <c r="K35" s="7">
        <v>0</v>
      </c>
      <c r="L35" s="7">
        <v>0</v>
      </c>
      <c r="M35" s="7">
        <v>0</v>
      </c>
      <c r="N35" s="7">
        <f t="shared" si="2"/>
        <v>11.33</v>
      </c>
      <c r="O35" s="7" t="e">
        <f>#REF!</f>
        <v>#REF!</v>
      </c>
      <c r="P35" s="7">
        <v>0</v>
      </c>
      <c r="Q35" s="7">
        <v>0</v>
      </c>
      <c r="R35" s="7">
        <v>0</v>
      </c>
      <c r="S35" s="7">
        <v>0</v>
      </c>
      <c r="T35" s="7" t="e">
        <f t="shared" si="3"/>
        <v>#REF!</v>
      </c>
      <c r="U35" s="7" t="e">
        <f t="shared" si="7"/>
        <v>#REF!</v>
      </c>
      <c r="V35" s="94"/>
    </row>
    <row r="36" spans="1:22" s="16" customFormat="1" ht="24.75" customHeight="1" x14ac:dyDescent="0.25">
      <c r="A36" s="93">
        <v>24</v>
      </c>
      <c r="B36" s="89" t="s">
        <v>40</v>
      </c>
      <c r="C36" s="7">
        <v>4658.1400000000003</v>
      </c>
      <c r="D36" s="7">
        <v>138.77000000000001</v>
      </c>
      <c r="E36" s="7">
        <v>138.77000000000001</v>
      </c>
      <c r="F36" s="7">
        <v>0</v>
      </c>
      <c r="G36" s="7">
        <v>0</v>
      </c>
      <c r="H36" s="7">
        <f t="shared" si="1"/>
        <v>4796.9100000000008</v>
      </c>
      <c r="I36" s="7">
        <v>3.46</v>
      </c>
      <c r="J36" s="7">
        <v>0</v>
      </c>
      <c r="K36" s="7">
        <v>0</v>
      </c>
      <c r="L36" s="7">
        <v>0</v>
      </c>
      <c r="M36" s="7">
        <v>0</v>
      </c>
      <c r="N36" s="7">
        <f t="shared" si="2"/>
        <v>3.46</v>
      </c>
      <c r="O36" s="7" t="e">
        <f>#REF!</f>
        <v>#REF!</v>
      </c>
      <c r="P36" s="7">
        <v>0</v>
      </c>
      <c r="Q36" s="7">
        <v>0</v>
      </c>
      <c r="R36" s="7">
        <v>0</v>
      </c>
      <c r="S36" s="7">
        <v>0</v>
      </c>
      <c r="T36" s="7" t="e">
        <f t="shared" si="3"/>
        <v>#REF!</v>
      </c>
      <c r="U36" s="7" t="e">
        <f t="shared" si="7"/>
        <v>#REF!</v>
      </c>
      <c r="V36" s="94"/>
    </row>
    <row r="37" spans="1:22" ht="23.25" customHeight="1" x14ac:dyDescent="0.25">
      <c r="A37" s="92"/>
      <c r="B37" s="87" t="s">
        <v>41</v>
      </c>
      <c r="C37" s="55">
        <f>SUM(C33:C36)</f>
        <v>16750.809999999998</v>
      </c>
      <c r="D37" s="14">
        <f>SUM(D33:D36)</f>
        <v>169.66</v>
      </c>
      <c r="E37" s="14">
        <f>SUM(E33:E36)</f>
        <v>169.66</v>
      </c>
      <c r="F37" s="14">
        <f>SUM(F33:F36)</f>
        <v>0</v>
      </c>
      <c r="G37" s="14">
        <f>SUM(G33:G36)</f>
        <v>0</v>
      </c>
      <c r="H37" s="55">
        <f t="shared" si="1"/>
        <v>16920.469999999998</v>
      </c>
      <c r="I37" s="14">
        <f>SUM(I33:I36)</f>
        <v>20.59</v>
      </c>
      <c r="J37" s="14">
        <f t="shared" ref="J37:S37" si="11">SUM(J33:J36)</f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55">
        <f t="shared" si="2"/>
        <v>20.59</v>
      </c>
      <c r="O37" s="14" t="e">
        <f>SUM(O33:O36)</f>
        <v>#REF!</v>
      </c>
      <c r="P37" s="14">
        <f t="shared" si="11"/>
        <v>0</v>
      </c>
      <c r="Q37" s="14">
        <f t="shared" si="11"/>
        <v>0</v>
      </c>
      <c r="R37" s="14">
        <f t="shared" si="11"/>
        <v>0</v>
      </c>
      <c r="S37" s="14">
        <f t="shared" si="11"/>
        <v>0</v>
      </c>
      <c r="T37" s="14" t="e">
        <f t="shared" si="3"/>
        <v>#REF!</v>
      </c>
      <c r="U37" s="55" t="e">
        <f t="shared" si="7"/>
        <v>#REF!</v>
      </c>
    </row>
    <row r="38" spans="1:22" ht="21.75" customHeight="1" x14ac:dyDescent="0.25">
      <c r="A38" s="92"/>
      <c r="B38" s="92" t="s">
        <v>42</v>
      </c>
      <c r="C38" s="14">
        <f>C37+C32+C27</f>
        <v>37739.009999999995</v>
      </c>
      <c r="D38" s="14">
        <f t="shared" ref="D38:U38" si="12">D37+D32+D27</f>
        <v>290.3</v>
      </c>
      <c r="E38" s="14">
        <f t="shared" si="12"/>
        <v>290.3</v>
      </c>
      <c r="F38" s="14">
        <f t="shared" si="12"/>
        <v>0</v>
      </c>
      <c r="G38" s="14">
        <f t="shared" si="12"/>
        <v>0</v>
      </c>
      <c r="H38" s="14">
        <f t="shared" si="12"/>
        <v>38029.31</v>
      </c>
      <c r="I38" s="14">
        <f t="shared" si="12"/>
        <v>909.53</v>
      </c>
      <c r="J38" s="14">
        <f t="shared" si="12"/>
        <v>1.9900000000000002</v>
      </c>
      <c r="K38" s="14">
        <f t="shared" si="12"/>
        <v>1.9900000000000002</v>
      </c>
      <c r="L38" s="14">
        <f t="shared" si="12"/>
        <v>0</v>
      </c>
      <c r="M38" s="14">
        <f t="shared" si="12"/>
        <v>0</v>
      </c>
      <c r="N38" s="14">
        <f t="shared" si="12"/>
        <v>911.52</v>
      </c>
      <c r="O38" s="14" t="e">
        <f t="shared" si="12"/>
        <v>#REF!</v>
      </c>
      <c r="P38" s="14">
        <f t="shared" si="12"/>
        <v>0</v>
      </c>
      <c r="Q38" s="14">
        <f t="shared" si="12"/>
        <v>0</v>
      </c>
      <c r="R38" s="14">
        <f t="shared" si="12"/>
        <v>0</v>
      </c>
      <c r="S38" s="14">
        <f t="shared" si="12"/>
        <v>0</v>
      </c>
      <c r="T38" s="14" t="e">
        <f t="shared" si="12"/>
        <v>#REF!</v>
      </c>
      <c r="U38" s="14" t="e">
        <f t="shared" si="12"/>
        <v>#REF!</v>
      </c>
    </row>
    <row r="39" spans="1:22" ht="19.5" customHeight="1" x14ac:dyDescent="0.25">
      <c r="A39" s="93">
        <v>25</v>
      </c>
      <c r="B39" s="89" t="s">
        <v>43</v>
      </c>
      <c r="C39" s="7">
        <v>8535.51</v>
      </c>
      <c r="D39" s="7">
        <v>143.166</v>
      </c>
      <c r="E39" s="7">
        <v>143.16999999999999</v>
      </c>
      <c r="F39" s="7">
        <v>0</v>
      </c>
      <c r="G39" s="7">
        <v>0</v>
      </c>
      <c r="H39" s="7">
        <f t="shared" si="1"/>
        <v>8678.6759999999995</v>
      </c>
      <c r="I39" s="7" t="e">
        <f>#REF!</f>
        <v>#REF!</v>
      </c>
      <c r="J39" s="7">
        <v>0</v>
      </c>
      <c r="K39" s="7">
        <v>0</v>
      </c>
      <c r="L39" s="7">
        <v>0</v>
      </c>
      <c r="M39" s="7">
        <v>0</v>
      </c>
      <c r="N39" s="7" t="e">
        <f t="shared" si="2"/>
        <v>#REF!</v>
      </c>
      <c r="O39" s="7" t="e">
        <f>#REF!</f>
        <v>#REF!</v>
      </c>
      <c r="P39" s="7">
        <v>0</v>
      </c>
      <c r="Q39" s="7">
        <v>0</v>
      </c>
      <c r="R39" s="7">
        <v>0</v>
      </c>
      <c r="S39" s="7">
        <v>0</v>
      </c>
      <c r="T39" s="7" t="e">
        <f t="shared" si="3"/>
        <v>#REF!</v>
      </c>
      <c r="U39" s="7" t="e">
        <f t="shared" si="7"/>
        <v>#REF!</v>
      </c>
    </row>
    <row r="40" spans="1:22" ht="19.5" customHeight="1" x14ac:dyDescent="0.25">
      <c r="A40" s="93">
        <v>26</v>
      </c>
      <c r="B40" s="89" t="s">
        <v>44</v>
      </c>
      <c r="C40" s="7">
        <v>6857.44</v>
      </c>
      <c r="D40" s="7">
        <v>15.42</v>
      </c>
      <c r="E40" s="7">
        <v>15.42</v>
      </c>
      <c r="F40" s="7">
        <v>0</v>
      </c>
      <c r="G40" s="7">
        <v>0</v>
      </c>
      <c r="H40" s="7">
        <f t="shared" si="1"/>
        <v>6872.86</v>
      </c>
      <c r="I40" s="7" t="e">
        <f>#REF!</f>
        <v>#REF!</v>
      </c>
      <c r="J40" s="7">
        <v>0</v>
      </c>
      <c r="K40" s="7">
        <v>0</v>
      </c>
      <c r="L40" s="7">
        <v>0</v>
      </c>
      <c r="M40" s="7">
        <v>0</v>
      </c>
      <c r="N40" s="7" t="e">
        <f t="shared" si="2"/>
        <v>#REF!</v>
      </c>
      <c r="O40" s="7" t="e">
        <f>#REF!</f>
        <v>#REF!</v>
      </c>
      <c r="P40" s="7">
        <v>0</v>
      </c>
      <c r="Q40" s="7">
        <v>0</v>
      </c>
      <c r="R40" s="7">
        <v>0</v>
      </c>
      <c r="S40" s="7">
        <v>0</v>
      </c>
      <c r="T40" s="7" t="e">
        <f t="shared" si="3"/>
        <v>#REF!</v>
      </c>
      <c r="U40" s="7" t="e">
        <f t="shared" si="7"/>
        <v>#REF!</v>
      </c>
    </row>
    <row r="41" spans="1:22" s="16" customFormat="1" ht="19.5" customHeight="1" x14ac:dyDescent="0.25">
      <c r="A41" s="93">
        <v>27</v>
      </c>
      <c r="B41" s="89" t="s">
        <v>45</v>
      </c>
      <c r="C41" s="7">
        <v>12052.21</v>
      </c>
      <c r="D41" s="7">
        <v>64.959999999999994</v>
      </c>
      <c r="E41" s="7">
        <v>64.959999999999994</v>
      </c>
      <c r="F41" s="7">
        <v>0</v>
      </c>
      <c r="G41" s="7">
        <v>0</v>
      </c>
      <c r="H41" s="7">
        <f t="shared" si="1"/>
        <v>12117.169999999998</v>
      </c>
      <c r="I41" s="7" t="e">
        <f>#REF!</f>
        <v>#REF!</v>
      </c>
      <c r="J41" s="7">
        <v>0</v>
      </c>
      <c r="K41" s="7">
        <v>0</v>
      </c>
      <c r="L41" s="7">
        <v>0</v>
      </c>
      <c r="M41" s="7">
        <v>0</v>
      </c>
      <c r="N41" s="7" t="e">
        <f t="shared" si="2"/>
        <v>#REF!</v>
      </c>
      <c r="O41" s="7" t="e">
        <f>#REF!</f>
        <v>#REF!</v>
      </c>
      <c r="P41" s="7">
        <v>0</v>
      </c>
      <c r="Q41" s="7">
        <v>0</v>
      </c>
      <c r="R41" s="7">
        <v>0</v>
      </c>
      <c r="S41" s="7">
        <v>0</v>
      </c>
      <c r="T41" s="7" t="e">
        <f t="shared" si="3"/>
        <v>#REF!</v>
      </c>
      <c r="U41" s="7" t="e">
        <f t="shared" si="7"/>
        <v>#REF!</v>
      </c>
      <c r="V41" s="94"/>
    </row>
    <row r="42" spans="1:22" ht="18.75" customHeight="1" x14ac:dyDescent="0.25">
      <c r="A42" s="93">
        <v>28</v>
      </c>
      <c r="B42" s="89" t="s">
        <v>63</v>
      </c>
      <c r="C42" s="7">
        <v>2497.88</v>
      </c>
      <c r="D42" s="100">
        <f>5.61+55.67</f>
        <v>61.28</v>
      </c>
      <c r="E42" s="7">
        <v>5.61</v>
      </c>
      <c r="F42" s="7">
        <v>0</v>
      </c>
      <c r="G42" s="7">
        <v>0</v>
      </c>
      <c r="H42" s="7">
        <f t="shared" si="1"/>
        <v>2559.1600000000003</v>
      </c>
      <c r="I42" s="7" t="e">
        <f>#REF!</f>
        <v>#REF!</v>
      </c>
      <c r="J42" s="100">
        <v>80.34</v>
      </c>
      <c r="K42" s="7">
        <v>0</v>
      </c>
      <c r="L42" s="7">
        <v>0</v>
      </c>
      <c r="M42" s="7">
        <v>0</v>
      </c>
      <c r="N42" s="7" t="e">
        <f t="shared" si="2"/>
        <v>#REF!</v>
      </c>
      <c r="O42" s="7" t="e">
        <f>#REF!</f>
        <v>#REF!</v>
      </c>
      <c r="P42" s="7">
        <v>0</v>
      </c>
      <c r="Q42" s="7">
        <v>0</v>
      </c>
      <c r="R42" s="7">
        <v>0</v>
      </c>
      <c r="S42" s="7">
        <v>0</v>
      </c>
      <c r="T42" s="7" t="e">
        <f t="shared" si="3"/>
        <v>#REF!</v>
      </c>
      <c r="U42" s="7" t="e">
        <f t="shared" si="7"/>
        <v>#REF!</v>
      </c>
    </row>
    <row r="43" spans="1:22" ht="21" customHeight="1" x14ac:dyDescent="0.25">
      <c r="A43" s="92"/>
      <c r="B43" s="92" t="s">
        <v>46</v>
      </c>
      <c r="C43" s="14">
        <f>SUM(C39:C42)</f>
        <v>29943.040000000001</v>
      </c>
      <c r="D43" s="14">
        <f>SUM(D39:D42)</f>
        <v>284.82600000000002</v>
      </c>
      <c r="E43" s="14">
        <f>SUM(E39:E42)</f>
        <v>229.15999999999997</v>
      </c>
      <c r="F43" s="14">
        <f>SUM(F39:F42)</f>
        <v>0</v>
      </c>
      <c r="G43" s="14">
        <f>SUM(G39:G42)</f>
        <v>0</v>
      </c>
      <c r="H43" s="14">
        <f t="shared" si="1"/>
        <v>30227.866000000002</v>
      </c>
      <c r="I43" s="14" t="e">
        <f>SUM(I39:I42)</f>
        <v>#REF!</v>
      </c>
      <c r="J43" s="14">
        <f t="shared" ref="J43:S43" si="13">SUM(J39:J42)</f>
        <v>80.34</v>
      </c>
      <c r="K43" s="14">
        <f t="shared" si="13"/>
        <v>0</v>
      </c>
      <c r="L43" s="14">
        <f>SUM(L39:L42)</f>
        <v>0</v>
      </c>
      <c r="M43" s="14">
        <f>SUM(M39:M42)</f>
        <v>0</v>
      </c>
      <c r="N43" s="14" t="e">
        <f>I43+(J43-L43)</f>
        <v>#REF!</v>
      </c>
      <c r="O43" s="14" t="e">
        <f>SUM(O39:O42)</f>
        <v>#REF!</v>
      </c>
      <c r="P43" s="14">
        <f t="shared" si="13"/>
        <v>0</v>
      </c>
      <c r="Q43" s="14">
        <f t="shared" si="13"/>
        <v>0</v>
      </c>
      <c r="R43" s="14">
        <f t="shared" si="13"/>
        <v>0</v>
      </c>
      <c r="S43" s="14">
        <f t="shared" si="13"/>
        <v>0</v>
      </c>
      <c r="T43" s="14" t="e">
        <f t="shared" si="3"/>
        <v>#REF!</v>
      </c>
      <c r="U43" s="14" t="e">
        <f t="shared" si="7"/>
        <v>#REF!</v>
      </c>
    </row>
    <row r="44" spans="1:22" ht="21.75" customHeight="1" x14ac:dyDescent="0.25">
      <c r="A44" s="93">
        <v>29</v>
      </c>
      <c r="B44" s="93" t="s">
        <v>47</v>
      </c>
      <c r="C44" s="7">
        <v>7518.61</v>
      </c>
      <c r="D44" s="7">
        <v>51.1721</v>
      </c>
      <c r="E44" s="7">
        <v>51.1721</v>
      </c>
      <c r="F44" s="7">
        <v>0</v>
      </c>
      <c r="G44" s="7">
        <v>0</v>
      </c>
      <c r="H44" s="7">
        <f t="shared" si="1"/>
        <v>7569.7820999999994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2"/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f t="shared" si="3"/>
        <v>0</v>
      </c>
      <c r="U44" s="7">
        <f t="shared" si="7"/>
        <v>7569.7820999999994</v>
      </c>
    </row>
    <row r="45" spans="1:22" ht="15.75" customHeight="1" x14ac:dyDescent="0.25">
      <c r="A45" s="93">
        <v>30</v>
      </c>
      <c r="B45" s="93" t="s">
        <v>48</v>
      </c>
      <c r="C45" s="7">
        <v>6531.46</v>
      </c>
      <c r="D45" s="7">
        <v>80.39500000000001</v>
      </c>
      <c r="E45" s="7">
        <v>80.39500000000001</v>
      </c>
      <c r="F45" s="7">
        <v>0</v>
      </c>
      <c r="G45" s="7">
        <v>0</v>
      </c>
      <c r="H45" s="7">
        <f t="shared" si="1"/>
        <v>6611.8550000000005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2"/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f t="shared" si="3"/>
        <v>0</v>
      </c>
      <c r="U45" s="7">
        <f t="shared" si="7"/>
        <v>6611.8550000000005</v>
      </c>
    </row>
    <row r="46" spans="1:22" s="16" customFormat="1" ht="27" customHeight="1" x14ac:dyDescent="0.25">
      <c r="A46" s="93">
        <v>31</v>
      </c>
      <c r="B46" s="93" t="s">
        <v>49</v>
      </c>
      <c r="C46" s="7">
        <v>7463.33</v>
      </c>
      <c r="D46" s="7">
        <v>36.6</v>
      </c>
      <c r="E46" s="7">
        <v>36.6</v>
      </c>
      <c r="F46" s="7">
        <v>0</v>
      </c>
      <c r="G46" s="7">
        <v>0</v>
      </c>
      <c r="H46" s="7">
        <f t="shared" si="1"/>
        <v>7499.93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2"/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f t="shared" si="3"/>
        <v>0</v>
      </c>
      <c r="U46" s="7">
        <f t="shared" si="7"/>
        <v>7499.93</v>
      </c>
      <c r="V46" s="94"/>
    </row>
    <row r="47" spans="1:22" s="16" customFormat="1" ht="24.75" customHeight="1" x14ac:dyDescent="0.25">
      <c r="A47" s="93">
        <v>32</v>
      </c>
      <c r="B47" s="89" t="s">
        <v>50</v>
      </c>
      <c r="C47" s="7">
        <v>6372.76</v>
      </c>
      <c r="D47" s="7">
        <v>141.32</v>
      </c>
      <c r="E47" s="7">
        <v>141.32</v>
      </c>
      <c r="F47" s="7">
        <v>0</v>
      </c>
      <c r="G47" s="7">
        <v>0</v>
      </c>
      <c r="H47" s="7">
        <f t="shared" si="1"/>
        <v>6514.08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2"/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f t="shared" si="3"/>
        <v>0</v>
      </c>
      <c r="U47" s="7">
        <f t="shared" si="7"/>
        <v>6514.08</v>
      </c>
      <c r="V47" s="94"/>
    </row>
    <row r="48" spans="1:22" s="16" customFormat="1" ht="31.5" customHeight="1" x14ac:dyDescent="0.25">
      <c r="A48" s="92"/>
      <c r="B48" s="92" t="s">
        <v>51</v>
      </c>
      <c r="C48" s="14">
        <f>SUM(C44:C47)</f>
        <v>27886.160000000003</v>
      </c>
      <c r="D48" s="14">
        <f t="shared" ref="D48:U48" si="14">SUM(D44:D47)</f>
        <v>309.4871</v>
      </c>
      <c r="E48" s="14">
        <f t="shared" si="14"/>
        <v>309.4871</v>
      </c>
      <c r="F48" s="14">
        <f t="shared" si="14"/>
        <v>0</v>
      </c>
      <c r="G48" s="14">
        <f t="shared" si="14"/>
        <v>0</v>
      </c>
      <c r="H48" s="14">
        <f t="shared" si="14"/>
        <v>28195.647100000002</v>
      </c>
      <c r="I48" s="14">
        <f t="shared" si="14"/>
        <v>0</v>
      </c>
      <c r="J48" s="14">
        <f t="shared" si="14"/>
        <v>0</v>
      </c>
      <c r="K48" s="14">
        <f t="shared" si="14"/>
        <v>0</v>
      </c>
      <c r="L48" s="14">
        <f t="shared" si="14"/>
        <v>0</v>
      </c>
      <c r="M48" s="14">
        <f t="shared" si="14"/>
        <v>0</v>
      </c>
      <c r="N48" s="14">
        <f t="shared" si="14"/>
        <v>0</v>
      </c>
      <c r="O48" s="14">
        <f t="shared" si="14"/>
        <v>0</v>
      </c>
      <c r="P48" s="14">
        <f t="shared" si="14"/>
        <v>0</v>
      </c>
      <c r="Q48" s="14">
        <f t="shared" si="14"/>
        <v>0</v>
      </c>
      <c r="R48" s="14">
        <f t="shared" si="14"/>
        <v>0</v>
      </c>
      <c r="S48" s="14">
        <f t="shared" si="14"/>
        <v>0</v>
      </c>
      <c r="T48" s="14">
        <f t="shared" si="14"/>
        <v>0</v>
      </c>
      <c r="U48" s="14">
        <f t="shared" si="14"/>
        <v>28195.647100000002</v>
      </c>
      <c r="V48" s="94"/>
    </row>
    <row r="49" spans="1:21" s="27" customFormat="1" ht="24" customHeight="1" x14ac:dyDescent="0.25">
      <c r="A49" s="92"/>
      <c r="B49" s="92" t="s">
        <v>52</v>
      </c>
      <c r="C49" s="14">
        <f>C48+C43</f>
        <v>57829.200000000004</v>
      </c>
      <c r="D49" s="14">
        <f>D48+D43</f>
        <v>594.31310000000008</v>
      </c>
      <c r="E49" s="88">
        <f>E48+E43</f>
        <v>538.64709999999991</v>
      </c>
      <c r="F49" s="14">
        <f t="shared" ref="F49:U49" si="15">F48+F43</f>
        <v>0</v>
      </c>
      <c r="G49" s="14">
        <f t="shared" si="15"/>
        <v>0</v>
      </c>
      <c r="H49" s="14">
        <f>H48+H43</f>
        <v>58423.513100000004</v>
      </c>
      <c r="I49" s="14" t="e">
        <f t="shared" si="15"/>
        <v>#REF!</v>
      </c>
      <c r="J49" s="14">
        <f t="shared" si="15"/>
        <v>80.34</v>
      </c>
      <c r="K49" s="14">
        <f t="shared" si="15"/>
        <v>0</v>
      </c>
      <c r="L49" s="14">
        <f t="shared" si="15"/>
        <v>0</v>
      </c>
      <c r="M49" s="14">
        <f t="shared" si="15"/>
        <v>0</v>
      </c>
      <c r="N49" s="14" t="e">
        <f t="shared" si="15"/>
        <v>#REF!</v>
      </c>
      <c r="O49" s="14" t="e">
        <f t="shared" si="15"/>
        <v>#REF!</v>
      </c>
      <c r="P49" s="14">
        <f t="shared" si="15"/>
        <v>0</v>
      </c>
      <c r="Q49" s="14">
        <f t="shared" si="15"/>
        <v>0</v>
      </c>
      <c r="R49" s="14">
        <f t="shared" si="15"/>
        <v>0</v>
      </c>
      <c r="S49" s="14">
        <f t="shared" si="15"/>
        <v>0</v>
      </c>
      <c r="T49" s="14" t="e">
        <f t="shared" si="15"/>
        <v>#REF!</v>
      </c>
      <c r="U49" s="14" t="e">
        <f t="shared" si="15"/>
        <v>#REF!</v>
      </c>
    </row>
    <row r="50" spans="1:21" s="29" customFormat="1" ht="24" customHeight="1" x14ac:dyDescent="0.25">
      <c r="A50" s="92"/>
      <c r="B50" s="92" t="s">
        <v>53</v>
      </c>
      <c r="C50" s="14" t="e">
        <f>C49+C38+C24</f>
        <v>#REF!</v>
      </c>
      <c r="D50" s="14">
        <f t="shared" ref="D50:U50" si="16">D49+D38+D24</f>
        <v>890.51310000000001</v>
      </c>
      <c r="E50" s="55">
        <f>E49+E38+E24</f>
        <v>834.84709999999984</v>
      </c>
      <c r="F50" s="14">
        <f t="shared" si="16"/>
        <v>0.1</v>
      </c>
      <c r="G50" s="14">
        <f t="shared" si="16"/>
        <v>0.1</v>
      </c>
      <c r="H50" s="14" t="e">
        <f t="shared" si="16"/>
        <v>#REF!</v>
      </c>
      <c r="I50" s="14" t="e">
        <f t="shared" si="16"/>
        <v>#REF!</v>
      </c>
      <c r="J50" s="14">
        <f t="shared" si="16"/>
        <v>89.2</v>
      </c>
      <c r="K50" s="55">
        <f t="shared" si="16"/>
        <v>8.86</v>
      </c>
      <c r="L50" s="14">
        <f t="shared" si="16"/>
        <v>0</v>
      </c>
      <c r="M50" s="14">
        <f t="shared" si="16"/>
        <v>0</v>
      </c>
      <c r="N50" s="14" t="e">
        <f t="shared" si="16"/>
        <v>#REF!</v>
      </c>
      <c r="O50" s="14" t="e">
        <f t="shared" si="16"/>
        <v>#REF!</v>
      </c>
      <c r="P50" s="14">
        <f t="shared" si="16"/>
        <v>147.89999999999998</v>
      </c>
      <c r="Q50" s="55">
        <f t="shared" si="16"/>
        <v>0.42</v>
      </c>
      <c r="R50" s="14">
        <f t="shared" si="16"/>
        <v>0</v>
      </c>
      <c r="S50" s="14">
        <f t="shared" si="16"/>
        <v>0</v>
      </c>
      <c r="T50" s="14" t="e">
        <f t="shared" si="16"/>
        <v>#REF!</v>
      </c>
      <c r="U50" s="14" t="e">
        <f t="shared" si="16"/>
        <v>#REF!</v>
      </c>
    </row>
    <row r="51" spans="1:21" s="27" customFormat="1" ht="24" customHeight="1" x14ac:dyDescent="0.25">
      <c r="C51" s="94">
        <f>101454.91-101399.24</f>
        <v>55.669999999998254</v>
      </c>
      <c r="D51" s="94"/>
      <c r="E51" s="70"/>
      <c r="F51" s="94"/>
      <c r="G51" s="70"/>
      <c r="H51" s="70"/>
      <c r="I51" s="94">
        <f>5576.89-5496.55</f>
        <v>80.340000000000146</v>
      </c>
      <c r="J51" s="94"/>
      <c r="K51" s="70"/>
      <c r="L51" s="94"/>
      <c r="M51" s="70"/>
      <c r="N51" s="70"/>
      <c r="O51" s="94">
        <f>796.77-649.27</f>
        <v>147.5</v>
      </c>
      <c r="P51" s="94"/>
      <c r="Q51" s="70"/>
      <c r="R51" s="94"/>
      <c r="S51" s="70"/>
      <c r="T51" s="70"/>
      <c r="U51" s="70"/>
    </row>
    <row r="52" spans="1:21" s="29" customFormat="1" ht="15.75" customHeight="1" x14ac:dyDescent="0.25">
      <c r="C52" s="30"/>
      <c r="D52" s="30"/>
      <c r="E52" s="69"/>
      <c r="F52" s="30"/>
      <c r="G52" s="69"/>
      <c r="H52" s="69"/>
      <c r="I52" s="30"/>
      <c r="J52" s="30"/>
      <c r="K52" s="69">
        <f>'[2]oct 2017'!K47+'[2]nov 17'!J47</f>
        <v>229.66300000000001</v>
      </c>
      <c r="L52" s="30"/>
      <c r="M52" s="69"/>
      <c r="N52" s="70"/>
      <c r="O52" s="30"/>
      <c r="P52" s="30"/>
      <c r="Q52" s="71">
        <f>'[2]oct 2017'!R47+'[2]nov 17'!Q47</f>
        <v>62.980000000000004</v>
      </c>
      <c r="R52" s="30"/>
      <c r="S52" s="69"/>
      <c r="T52" s="69"/>
      <c r="U52" s="30"/>
    </row>
    <row r="53" spans="1:21" s="27" customFormat="1" ht="15.75" customHeight="1" x14ac:dyDescent="0.25">
      <c r="B53" s="94"/>
      <c r="C53" s="320" t="s">
        <v>54</v>
      </c>
      <c r="D53" s="320"/>
      <c r="E53" s="320"/>
      <c r="F53" s="320"/>
      <c r="G53" s="320"/>
      <c r="H53" s="54"/>
      <c r="I53" s="94"/>
      <c r="J53" s="94">
        <f>D50+J50+P50-F50-L50-R50</f>
        <v>1127.5131000000001</v>
      </c>
      <c r="K53" s="94"/>
      <c r="L53" s="30" t="e">
        <f>#REF!+CIRCLE!E48+CIRCLE!K48+CIRCLE!Q48</f>
        <v>#REF!</v>
      </c>
      <c r="M53" s="94"/>
      <c r="N53" s="94"/>
      <c r="R53" s="94"/>
      <c r="U53" s="94"/>
    </row>
    <row r="54" spans="1:21" s="27" customFormat="1" ht="22.5" customHeight="1" x14ac:dyDescent="0.25">
      <c r="B54" s="94"/>
      <c r="C54" s="94"/>
      <c r="D54" s="320" t="s">
        <v>55</v>
      </c>
      <c r="E54" s="320"/>
      <c r="F54" s="320"/>
      <c r="G54" s="320"/>
      <c r="H54" s="67"/>
      <c r="I54" s="94"/>
      <c r="J54" s="53">
        <f>E50+K50+Q50-G50-M50-S50</f>
        <v>844.02709999999979</v>
      </c>
      <c r="K54" s="94"/>
      <c r="L54" s="94"/>
      <c r="M54" s="94"/>
      <c r="N54" s="94"/>
      <c r="R54" s="94"/>
      <c r="T54" s="94"/>
    </row>
    <row r="55" spans="1:21" ht="20.25" customHeight="1" x14ac:dyDescent="0.25">
      <c r="C55" s="72"/>
      <c r="D55" s="320" t="s">
        <v>56</v>
      </c>
      <c r="E55" s="320"/>
      <c r="F55" s="320"/>
      <c r="G55" s="320"/>
      <c r="H55" s="67"/>
      <c r="I55" s="73"/>
      <c r="J55" s="94" t="e">
        <f>H50+N50+T50</f>
        <v>#REF!</v>
      </c>
      <c r="K55" s="67"/>
      <c r="L55" s="67"/>
      <c r="M55" s="67"/>
      <c r="N55" s="67">
        <f>107828.57+844.02</f>
        <v>108672.59000000001</v>
      </c>
      <c r="P55" s="27"/>
      <c r="Q55" s="74"/>
      <c r="U55" s="74"/>
    </row>
    <row r="56" spans="1:21" ht="12.75" customHeight="1" x14ac:dyDescent="0.25">
      <c r="D56" s="68"/>
      <c r="E56" s="68"/>
      <c r="F56" s="72"/>
      <c r="G56" s="68"/>
      <c r="I56" s="77"/>
      <c r="J56" s="72"/>
      <c r="K56" s="67"/>
      <c r="L56" s="67"/>
      <c r="M56" s="67"/>
    </row>
    <row r="57" spans="1:21" ht="18" customHeight="1" x14ac:dyDescent="0.25">
      <c r="D57" s="68"/>
      <c r="E57" s="68"/>
      <c r="F57" s="68"/>
      <c r="G57" s="68"/>
      <c r="I57" s="77"/>
      <c r="J57" s="72"/>
      <c r="K57" s="67"/>
      <c r="L57" s="67" t="e">
        <f>N55-J55</f>
        <v>#REF!</v>
      </c>
      <c r="M57" s="78" t="e">
        <f>'[2]feb 18'!J54+#REF!</f>
        <v>#REF!</v>
      </c>
      <c r="N57" s="67"/>
      <c r="Q57" s="11"/>
      <c r="R57" s="11"/>
      <c r="S57" s="68"/>
      <c r="T57" s="11"/>
      <c r="U57" s="11"/>
    </row>
    <row r="58" spans="1:21" ht="27" customHeight="1" x14ac:dyDescent="0.25">
      <c r="B58" s="321" t="s">
        <v>57</v>
      </c>
      <c r="C58" s="321"/>
      <c r="D58" s="321"/>
      <c r="E58" s="321"/>
      <c r="F58" s="321"/>
      <c r="G58" s="16"/>
      <c r="H58" s="16"/>
      <c r="I58" s="79"/>
      <c r="J58" s="322">
        <f>'[2]aug 17'!J53+'[2]sep 17'!J51</f>
        <v>97392.012300000002</v>
      </c>
      <c r="K58" s="323"/>
      <c r="L58" s="323"/>
      <c r="M58" s="54"/>
      <c r="N58" s="16">
        <f>108672.59-108389.08</f>
        <v>283.50999999999476</v>
      </c>
      <c r="O58" s="16"/>
      <c r="P58" s="96"/>
      <c r="Q58" s="321" t="s">
        <v>58</v>
      </c>
      <c r="R58" s="321"/>
      <c r="S58" s="321"/>
      <c r="T58" s="321"/>
      <c r="U58" s="321"/>
    </row>
    <row r="59" spans="1:21" ht="23.25" customHeight="1" x14ac:dyDescent="0.25">
      <c r="B59" s="321" t="s">
        <v>59</v>
      </c>
      <c r="C59" s="321"/>
      <c r="D59" s="321"/>
      <c r="E59" s="321"/>
      <c r="F59" s="321"/>
      <c r="G59" s="16"/>
      <c r="H59" s="54"/>
      <c r="I59" s="80"/>
      <c r="J59" s="81"/>
      <c r="K59" s="95"/>
      <c r="L59" s="81"/>
      <c r="M59" s="16"/>
      <c r="N59" s="16"/>
      <c r="O59" s="16"/>
      <c r="P59" s="96"/>
      <c r="Q59" s="321" t="s">
        <v>59</v>
      </c>
      <c r="R59" s="321"/>
      <c r="S59" s="321"/>
      <c r="T59" s="321"/>
      <c r="U59" s="321"/>
    </row>
    <row r="60" spans="1:21" x14ac:dyDescent="0.25">
      <c r="F60" s="68"/>
      <c r="J60" s="319" t="s">
        <v>60</v>
      </c>
      <c r="K60" s="319"/>
      <c r="L60" s="319"/>
    </row>
    <row r="61" spans="1:21" x14ac:dyDescent="0.25">
      <c r="F61" s="68"/>
      <c r="G61" s="78">
        <f>'[2]oct 2017'!J53+'[2]nov 17'!J51</f>
        <v>98581.184299999994</v>
      </c>
      <c r="J61" s="81"/>
      <c r="K61" s="95"/>
      <c r="L61" s="81"/>
      <c r="N61" s="83">
        <f>'[2]sep 17'!J53+'[2]oct 2017'!J51</f>
        <v>97903.751300000004</v>
      </c>
    </row>
    <row r="62" spans="1:21" ht="24" customHeight="1" x14ac:dyDescent="0.25">
      <c r="J62" s="319" t="s">
        <v>61</v>
      </c>
      <c r="K62" s="319"/>
      <c r="L62" s="319"/>
    </row>
    <row r="63" spans="1:21" x14ac:dyDescent="0.25">
      <c r="G63" s="67"/>
      <c r="J63" s="319" t="s">
        <v>62</v>
      </c>
      <c r="K63" s="319"/>
      <c r="L63" s="319"/>
    </row>
    <row r="66" spans="3:21" x14ac:dyDescent="0.25">
      <c r="C66" s="67"/>
    </row>
    <row r="67" spans="3:21" x14ac:dyDescent="0.25">
      <c r="H67" s="84"/>
      <c r="I67" s="85"/>
      <c r="J67" s="84"/>
    </row>
    <row r="68" spans="3:21" x14ac:dyDescent="0.25">
      <c r="H68" s="84"/>
      <c r="I68" s="85"/>
      <c r="J68" s="84"/>
    </row>
    <row r="69" spans="3:21" x14ac:dyDescent="0.25">
      <c r="H69" s="78">
        <f>'[2]nov 17'!J53+'[2]dec 17'!J51</f>
        <v>98988.2883</v>
      </c>
      <c r="I69" s="85"/>
      <c r="J69" s="84"/>
    </row>
    <row r="70" spans="3:21" x14ac:dyDescent="0.25">
      <c r="H70" s="84"/>
      <c r="I70" s="85"/>
      <c r="J70" s="84"/>
    </row>
    <row r="71" spans="3:21" x14ac:dyDescent="0.25">
      <c r="H71" s="84"/>
      <c r="I71" s="85"/>
      <c r="J71" s="84"/>
    </row>
    <row r="72" spans="3:21" x14ac:dyDescent="0.25">
      <c r="I72" s="82">
        <f>261.37+72.57</f>
        <v>333.94</v>
      </c>
      <c r="P72" s="11"/>
      <c r="Q72" s="11"/>
      <c r="R72" s="11"/>
      <c r="S72" s="68"/>
      <c r="T72" s="11"/>
      <c r="U72" s="11"/>
    </row>
    <row r="73" spans="3:21" x14ac:dyDescent="0.25">
      <c r="I73" s="82">
        <f>78.17+53.54</f>
        <v>131.71</v>
      </c>
      <c r="P73" s="11"/>
      <c r="Q73" s="11"/>
      <c r="R73" s="11"/>
      <c r="S73" s="68"/>
      <c r="T73" s="11"/>
      <c r="U73" s="11"/>
    </row>
  </sheetData>
  <mergeCells count="31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J60:L60"/>
    <mergeCell ref="J62:L62"/>
    <mergeCell ref="J63:L63"/>
    <mergeCell ref="D55:G55"/>
    <mergeCell ref="B58:F58"/>
    <mergeCell ref="J58:L58"/>
  </mergeCell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0"/>
  <sheetViews>
    <sheetView topLeftCell="A10" zoomScale="74" zoomScaleNormal="74" workbookViewId="0">
      <selection activeCell="D3" sqref="D3:E3"/>
    </sheetView>
  </sheetViews>
  <sheetFormatPr defaultRowHeight="15" x14ac:dyDescent="0.3"/>
  <cols>
    <col min="1" max="1" width="5.7109375" style="3" customWidth="1"/>
    <col min="2" max="2" width="47.28515625" style="3" customWidth="1"/>
    <col min="3" max="3" width="22.85546875" style="3" hidden="1" customWidth="1"/>
    <col min="4" max="4" width="22.5703125" style="3" customWidth="1"/>
    <col min="5" max="5" width="25.140625" style="3" customWidth="1"/>
    <col min="6" max="6" width="20.140625" style="3" customWidth="1"/>
    <col min="7" max="7" width="9.140625" style="3"/>
    <col min="8" max="8" width="16.42578125" style="3" bestFit="1" customWidth="1"/>
    <col min="9" max="16384" width="9.140625" style="3"/>
  </cols>
  <sheetData>
    <row r="1" spans="1:6" ht="9.75" customHeight="1" x14ac:dyDescent="0.3">
      <c r="A1" s="332"/>
      <c r="B1" s="333"/>
      <c r="C1" s="333"/>
    </row>
    <row r="2" spans="1:6" s="4" customFormat="1" ht="18.75" customHeight="1" x14ac:dyDescent="0.25">
      <c r="A2" s="334" t="s">
        <v>1</v>
      </c>
      <c r="B2" s="334" t="s">
        <v>2</v>
      </c>
      <c r="C2" s="98" t="s">
        <v>3</v>
      </c>
    </row>
    <row r="3" spans="1:6" s="4" customFormat="1" ht="19.5" customHeight="1" x14ac:dyDescent="0.25">
      <c r="A3" s="335"/>
      <c r="B3" s="335"/>
      <c r="C3" s="334" t="s">
        <v>6</v>
      </c>
      <c r="D3" s="106" t="s">
        <v>68</v>
      </c>
      <c r="E3" s="106" t="s">
        <v>69</v>
      </c>
    </row>
    <row r="4" spans="1:6" s="4" customFormat="1" ht="15.75" customHeight="1" x14ac:dyDescent="0.25">
      <c r="A4" s="336"/>
      <c r="B4" s="336"/>
      <c r="C4" s="336"/>
    </row>
    <row r="5" spans="1:6" s="11" customFormat="1" ht="19.5" customHeight="1" x14ac:dyDescent="0.25">
      <c r="A5" s="5">
        <v>1</v>
      </c>
      <c r="B5" s="6" t="s">
        <v>13</v>
      </c>
      <c r="C5" s="7">
        <v>134.02833333333334</v>
      </c>
      <c r="D5" s="76">
        <v>458.80999999999989</v>
      </c>
      <c r="E5" s="76">
        <v>192.87</v>
      </c>
      <c r="F5" s="11">
        <f>D5-E5</f>
        <v>265.93999999999988</v>
      </c>
    </row>
    <row r="6" spans="1:6" s="11" customFormat="1" ht="19.5" customHeight="1" x14ac:dyDescent="0.25">
      <c r="A6" s="5">
        <v>2</v>
      </c>
      <c r="B6" s="6" t="s">
        <v>65</v>
      </c>
      <c r="C6" s="7"/>
      <c r="D6" s="76">
        <v>0</v>
      </c>
      <c r="E6" s="76">
        <v>265.93</v>
      </c>
      <c r="F6" s="11">
        <f t="shared" ref="F6:F50" si="0">D6-E6</f>
        <v>-265.93</v>
      </c>
    </row>
    <row r="7" spans="1:6" s="11" customFormat="1" ht="21.75" customHeight="1" x14ac:dyDescent="0.25">
      <c r="A7" s="5">
        <v>3</v>
      </c>
      <c r="B7" s="6" t="s">
        <v>14</v>
      </c>
      <c r="C7" s="7">
        <v>106.67333333333335</v>
      </c>
      <c r="D7" s="76">
        <v>309.7600000000001</v>
      </c>
      <c r="E7" s="76">
        <v>309.7600000000001</v>
      </c>
      <c r="F7" s="11">
        <f t="shared" si="0"/>
        <v>0</v>
      </c>
    </row>
    <row r="8" spans="1:6" s="11" customFormat="1" ht="17.25" customHeight="1" x14ac:dyDescent="0.25">
      <c r="A8" s="5">
        <v>4</v>
      </c>
      <c r="B8" s="6" t="s">
        <v>15</v>
      </c>
      <c r="C8" s="7">
        <v>2.0666666666666669</v>
      </c>
      <c r="D8" s="76">
        <v>7.36</v>
      </c>
      <c r="E8" s="76">
        <v>0</v>
      </c>
      <c r="F8" s="11">
        <f t="shared" si="0"/>
        <v>7.36</v>
      </c>
    </row>
    <row r="9" spans="1:6" s="16" customFormat="1" ht="19.5" customHeight="1" x14ac:dyDescent="0.25">
      <c r="A9" s="12"/>
      <c r="B9" s="13" t="s">
        <v>16</v>
      </c>
      <c r="C9" s="14">
        <v>242.76833333333335</v>
      </c>
      <c r="D9" s="27">
        <v>775.93</v>
      </c>
      <c r="E9" s="27">
        <v>768.56000000000017</v>
      </c>
      <c r="F9" s="11">
        <f t="shared" si="0"/>
        <v>7.3699999999997772</v>
      </c>
    </row>
    <row r="10" spans="1:6" s="11" customFormat="1" ht="25.5" customHeight="1" x14ac:dyDescent="0.25">
      <c r="A10" s="5">
        <v>5</v>
      </c>
      <c r="B10" s="6" t="s">
        <v>17</v>
      </c>
      <c r="C10" s="7">
        <v>545.01400000000001</v>
      </c>
      <c r="D10" s="76">
        <v>567.25999999999965</v>
      </c>
      <c r="E10" s="76">
        <v>567.24</v>
      </c>
      <c r="F10" s="11">
        <f t="shared" si="0"/>
        <v>1.999999999964075E-2</v>
      </c>
    </row>
    <row r="11" spans="1:6" s="11" customFormat="1" ht="19.5" customHeight="1" x14ac:dyDescent="0.25">
      <c r="A11" s="5">
        <v>6</v>
      </c>
      <c r="B11" s="6" t="s">
        <v>18</v>
      </c>
      <c r="C11" s="7">
        <v>102.32099999999998</v>
      </c>
      <c r="D11" s="76">
        <v>314.7600000000001</v>
      </c>
      <c r="E11" s="76">
        <v>314.7600000000001</v>
      </c>
      <c r="F11" s="11">
        <f t="shared" si="0"/>
        <v>0</v>
      </c>
    </row>
    <row r="12" spans="1:6" s="11" customFormat="1" ht="21" customHeight="1" x14ac:dyDescent="0.25">
      <c r="A12" s="5">
        <v>7</v>
      </c>
      <c r="B12" s="6" t="s">
        <v>19</v>
      </c>
      <c r="C12" s="7">
        <v>439.76333333333338</v>
      </c>
      <c r="D12" s="76">
        <v>1508.0699999999993</v>
      </c>
      <c r="E12" s="76">
        <v>1508.0699999999993</v>
      </c>
      <c r="F12" s="11">
        <f t="shared" si="0"/>
        <v>0</v>
      </c>
    </row>
    <row r="13" spans="1:6" s="16" customFormat="1" ht="19.5" customHeight="1" x14ac:dyDescent="0.25">
      <c r="A13" s="12"/>
      <c r="B13" s="13" t="s">
        <v>20</v>
      </c>
      <c r="C13" s="14">
        <v>1087.0983333333334</v>
      </c>
      <c r="D13" s="27">
        <v>2390.09</v>
      </c>
      <c r="E13" s="27">
        <v>2390.0699999999993</v>
      </c>
      <c r="F13" s="11">
        <f t="shared" si="0"/>
        <v>2.0000000000891305E-2</v>
      </c>
    </row>
    <row r="14" spans="1:6" s="11" customFormat="1" ht="21" customHeight="1" x14ac:dyDescent="0.25">
      <c r="A14" s="5">
        <v>8</v>
      </c>
      <c r="B14" s="6" t="s">
        <v>21</v>
      </c>
      <c r="C14" s="7">
        <v>540.85</v>
      </c>
      <c r="D14" s="76">
        <v>969.11200000000031</v>
      </c>
      <c r="E14" s="76">
        <v>968.202</v>
      </c>
      <c r="F14" s="11">
        <f t="shared" si="0"/>
        <v>0.91000000000030923</v>
      </c>
    </row>
    <row r="15" spans="1:6" s="24" customFormat="1" ht="21.75" customHeight="1" x14ac:dyDescent="0.25">
      <c r="A15" s="18">
        <v>9</v>
      </c>
      <c r="B15" s="19" t="s">
        <v>22</v>
      </c>
      <c r="C15" s="20">
        <v>65.2</v>
      </c>
      <c r="D15" s="102">
        <v>182.22</v>
      </c>
      <c r="E15" s="102">
        <v>197.16</v>
      </c>
      <c r="F15" s="11">
        <f t="shared" si="0"/>
        <v>-14.939999999999998</v>
      </c>
    </row>
    <row r="16" spans="1:6" s="11" customFormat="1" ht="21.75" customHeight="1" x14ac:dyDescent="0.25">
      <c r="A16" s="5">
        <v>10</v>
      </c>
      <c r="B16" s="6" t="s">
        <v>23</v>
      </c>
      <c r="C16" s="7">
        <v>126.64</v>
      </c>
      <c r="D16" s="76">
        <v>203.32000000000005</v>
      </c>
      <c r="E16" s="76">
        <v>188.01499999999999</v>
      </c>
      <c r="F16" s="11">
        <f t="shared" si="0"/>
        <v>15.305000000000064</v>
      </c>
    </row>
    <row r="17" spans="1:8" s="16" customFormat="1" ht="19.5" customHeight="1" x14ac:dyDescent="0.25">
      <c r="A17" s="12"/>
      <c r="B17" s="13" t="s">
        <v>24</v>
      </c>
      <c r="C17" s="14">
        <v>732.69</v>
      </c>
      <c r="D17" s="27">
        <v>1354.6520000000003</v>
      </c>
      <c r="E17" s="27">
        <v>1353.377</v>
      </c>
      <c r="F17" s="11">
        <f t="shared" si="0"/>
        <v>1.2750000000003183</v>
      </c>
    </row>
    <row r="18" spans="1:8" s="11" customFormat="1" ht="19.5" customHeight="1" x14ac:dyDescent="0.25">
      <c r="A18" s="5">
        <v>11</v>
      </c>
      <c r="B18" s="6" t="s">
        <v>25</v>
      </c>
      <c r="C18" s="7">
        <v>135.3133333333333</v>
      </c>
      <c r="D18" s="76">
        <v>751.40999999999963</v>
      </c>
      <c r="E18" s="76">
        <v>749.14</v>
      </c>
      <c r="F18" s="11">
        <f t="shared" si="0"/>
        <v>2.2699999999996407</v>
      </c>
    </row>
    <row r="19" spans="1:8" s="11" customFormat="1" ht="21" customHeight="1" x14ac:dyDescent="0.25">
      <c r="A19" s="5">
        <v>12</v>
      </c>
      <c r="B19" s="6" t="s">
        <v>26</v>
      </c>
      <c r="C19" s="7">
        <v>33.798333333333325</v>
      </c>
      <c r="D19" s="76">
        <v>120.98999999999998</v>
      </c>
      <c r="E19" s="76">
        <v>119.97</v>
      </c>
      <c r="F19" s="11">
        <f t="shared" si="0"/>
        <v>1.0199999999999818</v>
      </c>
    </row>
    <row r="20" spans="1:8" s="11" customFormat="1" ht="17.25" customHeight="1" x14ac:dyDescent="0.25">
      <c r="A20" s="5">
        <v>13</v>
      </c>
      <c r="B20" s="25" t="s">
        <v>27</v>
      </c>
      <c r="C20" s="7">
        <v>261.95499999999998</v>
      </c>
      <c r="D20" s="76">
        <v>450.7299999999999</v>
      </c>
      <c r="E20" s="76">
        <v>449.91</v>
      </c>
      <c r="F20" s="11">
        <f t="shared" si="0"/>
        <v>0.81999999999987949</v>
      </c>
    </row>
    <row r="21" spans="1:8" s="16" customFormat="1" ht="25.5" customHeight="1" x14ac:dyDescent="0.25">
      <c r="A21" s="12"/>
      <c r="B21" s="13" t="s">
        <v>28</v>
      </c>
      <c r="C21" s="14">
        <v>431.06666666666661</v>
      </c>
      <c r="D21" s="27">
        <v>1323.1299999999997</v>
      </c>
      <c r="E21" s="27">
        <v>1319.02</v>
      </c>
      <c r="F21" s="11">
        <f t="shared" si="0"/>
        <v>4.1099999999996726</v>
      </c>
    </row>
    <row r="22" spans="1:8" s="16" customFormat="1" ht="19.5" customHeight="1" x14ac:dyDescent="0.25">
      <c r="A22" s="12"/>
      <c r="B22" s="13" t="s">
        <v>29</v>
      </c>
      <c r="C22" s="14">
        <v>2493.6233333333334</v>
      </c>
      <c r="D22" s="27">
        <v>5843.8019999999988</v>
      </c>
      <c r="E22" s="27">
        <v>5831.0269999999991</v>
      </c>
      <c r="F22" s="11">
        <f t="shared" si="0"/>
        <v>12.774999999999636</v>
      </c>
    </row>
    <row r="23" spans="1:8" s="11" customFormat="1" ht="18" customHeight="1" x14ac:dyDescent="0.25">
      <c r="A23" s="5">
        <v>14</v>
      </c>
      <c r="B23" s="6" t="s">
        <v>30</v>
      </c>
      <c r="C23" s="7">
        <v>4616.42</v>
      </c>
      <c r="D23" s="76">
        <v>6839.2820000000011</v>
      </c>
      <c r="E23" s="105">
        <v>4000.8</v>
      </c>
      <c r="F23" s="104">
        <f t="shared" si="0"/>
        <v>2838.4820000000009</v>
      </c>
      <c r="H23" s="11">
        <f>F23/11</f>
        <v>258.04381818181827</v>
      </c>
    </row>
    <row r="24" spans="1:8" s="11" customFormat="1" ht="27" customHeight="1" x14ac:dyDescent="0.25">
      <c r="A24" s="5">
        <v>15</v>
      </c>
      <c r="B24" s="6" t="s">
        <v>31</v>
      </c>
      <c r="C24" s="7">
        <v>4148.41</v>
      </c>
      <c r="D24" s="76">
        <v>4883.670000000001</v>
      </c>
      <c r="E24" s="76">
        <v>4869.3599999999997</v>
      </c>
      <c r="F24" s="11">
        <f t="shared" si="0"/>
        <v>14.31000000000131</v>
      </c>
      <c r="H24" s="11">
        <f t="shared" ref="H24:H50" si="1">F24/11</f>
        <v>1.30090909090921</v>
      </c>
    </row>
    <row r="25" spans="1:8" s="16" customFormat="1" ht="19.5" customHeight="1" x14ac:dyDescent="0.25">
      <c r="A25" s="12"/>
      <c r="B25" s="26" t="s">
        <v>32</v>
      </c>
      <c r="C25" s="14"/>
      <c r="D25" s="27">
        <v>11722.951999999999</v>
      </c>
      <c r="E25" s="27">
        <v>8870.16</v>
      </c>
      <c r="F25" s="11">
        <f t="shared" si="0"/>
        <v>2852.7919999999995</v>
      </c>
      <c r="H25" s="11">
        <f t="shared" si="1"/>
        <v>259.3447272727272</v>
      </c>
    </row>
    <row r="26" spans="1:8" s="11" customFormat="1" ht="19.5" customHeight="1" x14ac:dyDescent="0.25">
      <c r="A26" s="5">
        <v>16</v>
      </c>
      <c r="B26" s="6" t="s">
        <v>33</v>
      </c>
      <c r="C26" s="7">
        <v>4270.66</v>
      </c>
      <c r="D26" s="76">
        <v>3522.2129999999997</v>
      </c>
      <c r="E26" s="76">
        <v>2978.1</v>
      </c>
      <c r="F26" s="11">
        <f t="shared" si="0"/>
        <v>544.11299999999983</v>
      </c>
      <c r="H26" s="11">
        <f t="shared" si="1"/>
        <v>49.464818181818167</v>
      </c>
    </row>
    <row r="27" spans="1:8" s="11" customFormat="1" ht="19.5" customHeight="1" x14ac:dyDescent="0.25">
      <c r="A27" s="5">
        <v>17</v>
      </c>
      <c r="B27" s="6" t="s">
        <v>64</v>
      </c>
      <c r="C27" s="7"/>
      <c r="D27" s="76">
        <v>191.851</v>
      </c>
      <c r="E27" s="76">
        <v>3034.84</v>
      </c>
      <c r="F27" s="11">
        <f t="shared" si="0"/>
        <v>-2842.989</v>
      </c>
      <c r="H27" s="11">
        <f t="shared" si="1"/>
        <v>-258.45354545454546</v>
      </c>
    </row>
    <row r="28" spans="1:8" s="11" customFormat="1" ht="21.75" customHeight="1" x14ac:dyDescent="0.25">
      <c r="A28" s="5">
        <v>18</v>
      </c>
      <c r="B28" s="6" t="s">
        <v>34</v>
      </c>
      <c r="C28" s="7"/>
      <c r="D28" s="76">
        <v>3821.0410000000002</v>
      </c>
      <c r="E28" s="76">
        <v>3800.72</v>
      </c>
      <c r="F28" s="11">
        <f t="shared" si="0"/>
        <v>20.321000000000367</v>
      </c>
      <c r="H28" s="11">
        <f t="shared" si="1"/>
        <v>1.8473636363636698</v>
      </c>
    </row>
    <row r="29" spans="1:8" s="11" customFormat="1" ht="20.25" customHeight="1" x14ac:dyDescent="0.25">
      <c r="A29" s="5">
        <v>19</v>
      </c>
      <c r="B29" s="6" t="s">
        <v>35</v>
      </c>
      <c r="C29" s="7">
        <v>1997.83</v>
      </c>
      <c r="D29" s="76">
        <v>2370.2332999999999</v>
      </c>
      <c r="E29" s="76">
        <v>2304.38</v>
      </c>
      <c r="F29" s="11">
        <f t="shared" si="0"/>
        <v>65.853299999999763</v>
      </c>
      <c r="H29" s="11">
        <f t="shared" si="1"/>
        <v>5.9866636363636152</v>
      </c>
    </row>
    <row r="30" spans="1:8" s="16" customFormat="1" ht="24.75" customHeight="1" x14ac:dyDescent="0.25">
      <c r="A30" s="12"/>
      <c r="B30" s="13" t="s">
        <v>36</v>
      </c>
      <c r="C30" s="14">
        <v>15033.32</v>
      </c>
      <c r="D30" s="27">
        <v>9905.3382999999958</v>
      </c>
      <c r="E30" s="27">
        <v>12118.04</v>
      </c>
      <c r="F30" s="11">
        <f t="shared" si="0"/>
        <v>-2212.7017000000051</v>
      </c>
      <c r="H30" s="11">
        <f t="shared" si="1"/>
        <v>-201.15470000000047</v>
      </c>
    </row>
    <row r="31" spans="1:8" s="11" customFormat="1" ht="23.25" customHeight="1" x14ac:dyDescent="0.25">
      <c r="A31" s="5">
        <v>20</v>
      </c>
      <c r="B31" s="6" t="s">
        <v>37</v>
      </c>
      <c r="C31" s="7">
        <v>3431.66</v>
      </c>
      <c r="D31" s="76">
        <v>4087.4999999999995</v>
      </c>
      <c r="E31" s="76">
        <v>4115.8</v>
      </c>
      <c r="F31" s="11">
        <f t="shared" si="0"/>
        <v>-28.300000000000637</v>
      </c>
      <c r="H31" s="11">
        <f t="shared" si="1"/>
        <v>-2.5727272727273305</v>
      </c>
    </row>
    <row r="32" spans="1:8" s="11" customFormat="1" ht="20.25" customHeight="1" x14ac:dyDescent="0.25">
      <c r="A32" s="5">
        <v>21</v>
      </c>
      <c r="B32" s="6" t="s">
        <v>38</v>
      </c>
      <c r="C32" s="7">
        <v>3857.4</v>
      </c>
      <c r="D32" s="76">
        <v>5309.0399999999981</v>
      </c>
      <c r="E32" s="76">
        <v>5342.73</v>
      </c>
      <c r="F32" s="11">
        <f t="shared" si="0"/>
        <v>-33.690000000001419</v>
      </c>
      <c r="H32" s="11">
        <f t="shared" si="1"/>
        <v>-3.0627272727274018</v>
      </c>
    </row>
    <row r="33" spans="1:8" s="11" customFormat="1" ht="21.75" customHeight="1" x14ac:dyDescent="0.25">
      <c r="A33" s="5">
        <v>22</v>
      </c>
      <c r="B33" s="6" t="s">
        <v>39</v>
      </c>
      <c r="C33" s="7">
        <v>2025.29</v>
      </c>
      <c r="D33" s="76">
        <v>2609.31</v>
      </c>
      <c r="E33" s="76">
        <v>2634.14</v>
      </c>
      <c r="F33" s="11">
        <f t="shared" si="0"/>
        <v>-24.829999999999927</v>
      </c>
      <c r="H33" s="11">
        <f t="shared" si="1"/>
        <v>-2.2572727272727207</v>
      </c>
    </row>
    <row r="34" spans="1:8" s="11" customFormat="1" ht="17.25" customHeight="1" x14ac:dyDescent="0.25">
      <c r="A34" s="5">
        <v>23</v>
      </c>
      <c r="B34" s="6" t="s">
        <v>40</v>
      </c>
      <c r="C34" s="7">
        <v>2997.81</v>
      </c>
      <c r="D34" s="76">
        <v>4432.42</v>
      </c>
      <c r="E34" s="76">
        <v>4658.1400000000003</v>
      </c>
      <c r="F34" s="11">
        <f t="shared" si="0"/>
        <v>-225.72000000000025</v>
      </c>
      <c r="H34" s="11">
        <f t="shared" si="1"/>
        <v>-20.520000000000024</v>
      </c>
    </row>
    <row r="35" spans="1:8" s="16" customFormat="1" ht="24" customHeight="1" x14ac:dyDescent="0.25">
      <c r="A35" s="12"/>
      <c r="B35" s="13" t="s">
        <v>41</v>
      </c>
      <c r="C35" s="14">
        <v>12312.159999999998</v>
      </c>
      <c r="D35" s="27">
        <v>16430.55</v>
      </c>
      <c r="E35" s="27">
        <v>16750.809999999998</v>
      </c>
      <c r="F35" s="11">
        <f t="shared" si="0"/>
        <v>-320.2599999999984</v>
      </c>
      <c r="H35" s="11">
        <f t="shared" si="1"/>
        <v>-29.114545454545308</v>
      </c>
    </row>
    <row r="36" spans="1:8" s="16" customFormat="1" ht="24.75" customHeight="1" x14ac:dyDescent="0.25">
      <c r="A36" s="12"/>
      <c r="B36" s="13" t="s">
        <v>42</v>
      </c>
      <c r="C36" s="14">
        <v>27345.479999999996</v>
      </c>
      <c r="D36" s="27">
        <v>38058.840299999996</v>
      </c>
      <c r="E36" s="27">
        <v>37739.009999999995</v>
      </c>
      <c r="F36" s="11">
        <f t="shared" si="0"/>
        <v>319.83030000000144</v>
      </c>
      <c r="H36" s="11">
        <f t="shared" si="1"/>
        <v>29.075481818181949</v>
      </c>
    </row>
    <row r="37" spans="1:8" s="11" customFormat="1" ht="23.25" customHeight="1" x14ac:dyDescent="0.25">
      <c r="A37" s="5">
        <v>24</v>
      </c>
      <c r="B37" s="6" t="s">
        <v>43</v>
      </c>
      <c r="C37" s="7">
        <v>2519.0973333333336</v>
      </c>
      <c r="D37" s="76">
        <v>9963.7089999999989</v>
      </c>
      <c r="E37" s="76">
        <v>8535.51</v>
      </c>
      <c r="F37" s="11">
        <f t="shared" si="0"/>
        <v>1428.1989999999987</v>
      </c>
      <c r="H37" s="11">
        <f t="shared" si="1"/>
        <v>129.83627272727261</v>
      </c>
    </row>
    <row r="38" spans="1:8" s="11" customFormat="1" ht="21.75" customHeight="1" x14ac:dyDescent="0.25">
      <c r="A38" s="5">
        <v>25</v>
      </c>
      <c r="B38" s="6" t="s">
        <v>44</v>
      </c>
      <c r="C38" s="7">
        <v>1849.9516666666666</v>
      </c>
      <c r="D38" s="76">
        <v>6817.3259999999955</v>
      </c>
      <c r="E38" s="76">
        <v>6857.44</v>
      </c>
      <c r="F38" s="11">
        <f t="shared" si="0"/>
        <v>-40.114000000004125</v>
      </c>
      <c r="H38" s="11">
        <f t="shared" si="1"/>
        <v>-3.6467272727276479</v>
      </c>
    </row>
    <row r="39" spans="1:8" s="11" customFormat="1" ht="19.5" customHeight="1" x14ac:dyDescent="0.25">
      <c r="A39" s="5">
        <v>26</v>
      </c>
      <c r="B39" s="6" t="s">
        <v>45</v>
      </c>
      <c r="C39" s="7">
        <v>2835.8183333333332</v>
      </c>
      <c r="D39" s="76">
        <v>12410.020999999997</v>
      </c>
      <c r="E39" s="76">
        <v>12052.21</v>
      </c>
      <c r="F39" s="11">
        <f t="shared" si="0"/>
        <v>357.81099999999788</v>
      </c>
      <c r="H39" s="11">
        <f t="shared" si="1"/>
        <v>32.528272727272537</v>
      </c>
    </row>
    <row r="40" spans="1:8" s="11" customFormat="1" ht="19.5" customHeight="1" x14ac:dyDescent="0.25">
      <c r="A40" s="5">
        <v>27</v>
      </c>
      <c r="B40" s="6" t="s">
        <v>63</v>
      </c>
      <c r="C40" s="7"/>
      <c r="D40" s="76">
        <v>618.97</v>
      </c>
      <c r="E40" s="76">
        <v>2497.88</v>
      </c>
      <c r="F40" s="11">
        <f t="shared" si="0"/>
        <v>-1878.91</v>
      </c>
      <c r="H40" s="11">
        <f t="shared" si="1"/>
        <v>-170.81</v>
      </c>
    </row>
    <row r="41" spans="1:8" s="16" customFormat="1" ht="19.5" customHeight="1" x14ac:dyDescent="0.25">
      <c r="A41" s="12"/>
      <c r="B41" s="13" t="s">
        <v>46</v>
      </c>
      <c r="C41" s="14">
        <v>7204.8673333333336</v>
      </c>
      <c r="D41" s="27">
        <v>29810.025999999994</v>
      </c>
      <c r="E41" s="27">
        <v>29943.040000000001</v>
      </c>
      <c r="F41" s="11">
        <f t="shared" si="0"/>
        <v>-133.01400000000649</v>
      </c>
      <c r="H41" s="11">
        <f t="shared" si="1"/>
        <v>-12.092181818182409</v>
      </c>
    </row>
    <row r="42" spans="1:8" s="11" customFormat="1" ht="18.75" customHeight="1" x14ac:dyDescent="0.25">
      <c r="A42" s="5">
        <v>28</v>
      </c>
      <c r="B42" s="6" t="s">
        <v>47</v>
      </c>
      <c r="C42" s="7">
        <v>1805.24</v>
      </c>
      <c r="D42" s="76">
        <v>7485.8500000000022</v>
      </c>
      <c r="E42" s="76">
        <v>7518.61</v>
      </c>
      <c r="F42" s="11">
        <f t="shared" si="0"/>
        <v>-32.75999999999749</v>
      </c>
      <c r="H42" s="11">
        <f t="shared" si="1"/>
        <v>-2.9781818181815898</v>
      </c>
    </row>
    <row r="43" spans="1:8" s="11" customFormat="1" ht="21" customHeight="1" x14ac:dyDescent="0.25">
      <c r="A43" s="5">
        <v>29</v>
      </c>
      <c r="B43" s="6" t="s">
        <v>48</v>
      </c>
      <c r="C43" s="7">
        <v>1445.46</v>
      </c>
      <c r="D43" s="76">
        <v>6653.5900000000011</v>
      </c>
      <c r="E43" s="76">
        <v>6531.46</v>
      </c>
      <c r="F43" s="11">
        <f t="shared" si="0"/>
        <v>122.13000000000102</v>
      </c>
      <c r="H43" s="11">
        <f t="shared" si="1"/>
        <v>11.102727272727366</v>
      </c>
    </row>
    <row r="44" spans="1:8" s="11" customFormat="1" ht="21.75" customHeight="1" x14ac:dyDescent="0.25">
      <c r="A44" s="5">
        <v>30</v>
      </c>
      <c r="B44" s="6" t="s">
        <v>49</v>
      </c>
      <c r="C44" s="7">
        <v>1814.93</v>
      </c>
      <c r="D44" s="76">
        <v>7456.5400000000009</v>
      </c>
      <c r="E44" s="76">
        <v>7463.33</v>
      </c>
      <c r="F44" s="11">
        <f t="shared" si="0"/>
        <v>-6.7899999999990541</v>
      </c>
      <c r="H44" s="11">
        <f t="shared" si="1"/>
        <v>-0.61727272727264126</v>
      </c>
    </row>
    <row r="45" spans="1:8" s="11" customFormat="1" ht="15.75" customHeight="1" x14ac:dyDescent="0.25">
      <c r="A45" s="5">
        <v>31</v>
      </c>
      <c r="B45" s="6" t="s">
        <v>50</v>
      </c>
      <c r="C45" s="7">
        <v>1723.79</v>
      </c>
      <c r="D45" s="76">
        <v>6146.26</v>
      </c>
      <c r="E45" s="76">
        <v>6372.76</v>
      </c>
      <c r="F45" s="11">
        <f t="shared" si="0"/>
        <v>-226.5</v>
      </c>
      <c r="H45" s="11">
        <f t="shared" si="1"/>
        <v>-20.59090909090909</v>
      </c>
    </row>
    <row r="46" spans="1:8" s="16" customFormat="1" ht="27" customHeight="1" x14ac:dyDescent="0.25">
      <c r="A46" s="12"/>
      <c r="B46" s="13" t="s">
        <v>51</v>
      </c>
      <c r="C46" s="15">
        <f>SUM(C42:C45)</f>
        <v>6789.42</v>
      </c>
      <c r="D46" s="27">
        <v>27742.240000000005</v>
      </c>
      <c r="E46" s="27">
        <v>27886.160000000003</v>
      </c>
      <c r="F46" s="11">
        <f t="shared" si="0"/>
        <v>-143.91999999999825</v>
      </c>
      <c r="H46" s="11">
        <f t="shared" si="1"/>
        <v>-13.083636363636204</v>
      </c>
    </row>
    <row r="47" spans="1:8" s="16" customFormat="1" ht="24.75" customHeight="1" x14ac:dyDescent="0.25">
      <c r="A47" s="12"/>
      <c r="B47" s="13" t="s">
        <v>52</v>
      </c>
      <c r="C47" s="15">
        <f>C41+C46</f>
        <v>13994.287333333334</v>
      </c>
      <c r="D47" s="27">
        <v>57552.266000000003</v>
      </c>
      <c r="E47" s="27">
        <v>57829.200000000004</v>
      </c>
      <c r="F47" s="11">
        <f t="shared" si="0"/>
        <v>-276.93400000000111</v>
      </c>
      <c r="H47" s="11">
        <f t="shared" si="1"/>
        <v>-25.175818181818283</v>
      </c>
    </row>
    <row r="48" spans="1:8" s="66" customFormat="1" ht="48" customHeight="1" x14ac:dyDescent="0.35">
      <c r="A48" s="63"/>
      <c r="B48" s="64" t="s">
        <v>53</v>
      </c>
      <c r="C48" s="65">
        <f>C47+C36+C22</f>
        <v>43833.390666666666</v>
      </c>
      <c r="D48" s="103">
        <v>101454.9083</v>
      </c>
      <c r="E48" s="103">
        <v>101399.23699999999</v>
      </c>
      <c r="F48" s="11">
        <f t="shared" si="0"/>
        <v>55.671300000001793</v>
      </c>
      <c r="H48" s="11">
        <f t="shared" si="1"/>
        <v>5.0610272727274355</v>
      </c>
    </row>
    <row r="49" spans="2:8" s="27" customFormat="1" ht="24" hidden="1" customHeight="1" x14ac:dyDescent="0.25">
      <c r="C49" s="99"/>
      <c r="E49" s="27">
        <v>101399.23699999999</v>
      </c>
      <c r="F49" s="11">
        <f t="shared" si="0"/>
        <v>-101399.23699999999</v>
      </c>
      <c r="H49" s="11">
        <f t="shared" si="1"/>
        <v>-9218.1124545454531</v>
      </c>
    </row>
    <row r="50" spans="2:8" s="29" customFormat="1" ht="24" hidden="1" customHeight="1" x14ac:dyDescent="0.25">
      <c r="C50" s="30"/>
      <c r="F50" s="11">
        <f t="shared" si="0"/>
        <v>0</v>
      </c>
      <c r="H50" s="11">
        <f t="shared" si="1"/>
        <v>0</v>
      </c>
    </row>
    <row r="51" spans="2:8" s="29" customFormat="1" ht="24" customHeight="1" x14ac:dyDescent="0.25">
      <c r="C51" s="30"/>
    </row>
    <row r="52" spans="2:8" s="27" customFormat="1" ht="15.75" customHeight="1" x14ac:dyDescent="0.25">
      <c r="B52" s="99"/>
      <c r="C52" s="97" t="s">
        <v>54</v>
      </c>
    </row>
    <row r="53" spans="2:8" s="27" customFormat="1" ht="22.5" customHeight="1" x14ac:dyDescent="0.25">
      <c r="B53" s="99"/>
      <c r="C53" s="97"/>
    </row>
    <row r="54" spans="2:8" ht="20.25" customHeight="1" x14ac:dyDescent="0.3">
      <c r="C54" s="35"/>
    </row>
    <row r="55" spans="2:8" ht="18" customHeight="1" x14ac:dyDescent="0.3"/>
    <row r="56" spans="2:8" ht="27" customHeight="1" x14ac:dyDescent="0.3">
      <c r="B56" s="331" t="s">
        <v>57</v>
      </c>
      <c r="C56" s="331"/>
    </row>
    <row r="57" spans="2:8" ht="23.25" customHeight="1" x14ac:dyDescent="0.3">
      <c r="B57" s="331" t="s">
        <v>59</v>
      </c>
      <c r="C57" s="331"/>
    </row>
    <row r="58" spans="2:8" ht="25.5" customHeight="1" x14ac:dyDescent="0.3"/>
    <row r="59" spans="2:8" ht="24" customHeight="1" x14ac:dyDescent="0.3"/>
    <row r="60" spans="2:8" ht="19.5" customHeight="1" x14ac:dyDescent="0.3"/>
  </sheetData>
  <mergeCells count="6">
    <mergeCell ref="B56:C56"/>
    <mergeCell ref="B57:C57"/>
    <mergeCell ref="A1:C1"/>
    <mergeCell ref="A2:A4"/>
    <mergeCell ref="B2:B4"/>
    <mergeCell ref="C3:C4"/>
  </mergeCells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workbookViewId="0">
      <pane ySplit="6" topLeftCell="A46" activePane="bottomLeft" state="frozen"/>
      <selection pane="bottomLeft" activeCell="J15" sqref="J15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48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39" customWidth="1"/>
    <col min="18" max="18" width="18.140625" style="39" customWidth="1"/>
    <col min="19" max="19" width="13.140625" style="39" customWidth="1"/>
    <col min="20" max="20" width="20.28515625" style="40" customWidth="1"/>
    <col min="21" max="21" width="18.42578125" style="39" customWidth="1"/>
    <col min="22" max="22" width="22.28515625" style="39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337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</row>
    <row r="2" spans="1:23" s="2" customFormat="1" x14ac:dyDescent="0.25">
      <c r="A2" s="339" t="s">
        <v>66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</row>
    <row r="3" spans="1:23" ht="9.75" customHeight="1" x14ac:dyDescent="0.3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</row>
    <row r="4" spans="1:23" s="4" customFormat="1" ht="18.75" customHeight="1" x14ac:dyDescent="0.25">
      <c r="A4" s="340" t="s">
        <v>1</v>
      </c>
      <c r="B4" s="340" t="s">
        <v>2</v>
      </c>
      <c r="C4" s="342" t="s">
        <v>3</v>
      </c>
      <c r="D4" s="342"/>
      <c r="E4" s="342"/>
      <c r="F4" s="342"/>
      <c r="G4" s="342"/>
      <c r="H4" s="342"/>
      <c r="I4" s="342" t="s">
        <v>4</v>
      </c>
      <c r="J4" s="343"/>
      <c r="K4" s="343"/>
      <c r="L4" s="343"/>
      <c r="M4" s="343"/>
      <c r="N4" s="343"/>
      <c r="O4" s="58"/>
      <c r="P4" s="342" t="s">
        <v>5</v>
      </c>
      <c r="Q4" s="343"/>
      <c r="R4" s="343"/>
      <c r="S4" s="343"/>
      <c r="T4" s="343"/>
      <c r="U4" s="343"/>
      <c r="V4" s="59"/>
    </row>
    <row r="5" spans="1:23" s="4" customFormat="1" ht="19.5" customHeight="1" x14ac:dyDescent="0.25">
      <c r="A5" s="341"/>
      <c r="B5" s="341"/>
      <c r="C5" s="340" t="s">
        <v>6</v>
      </c>
      <c r="D5" s="340" t="s">
        <v>7</v>
      </c>
      <c r="E5" s="340"/>
      <c r="F5" s="340" t="s">
        <v>8</v>
      </c>
      <c r="G5" s="340"/>
      <c r="H5" s="57" t="s">
        <v>9</v>
      </c>
      <c r="I5" s="340" t="s">
        <v>6</v>
      </c>
      <c r="J5" s="340" t="s">
        <v>7</v>
      </c>
      <c r="K5" s="340"/>
      <c r="L5" s="340" t="s">
        <v>8</v>
      </c>
      <c r="M5" s="340"/>
      <c r="N5" s="340" t="s">
        <v>9</v>
      </c>
      <c r="O5" s="58"/>
      <c r="P5" s="340" t="s">
        <v>6</v>
      </c>
      <c r="Q5" s="340" t="s">
        <v>7</v>
      </c>
      <c r="R5" s="340"/>
      <c r="S5" s="340" t="s">
        <v>8</v>
      </c>
      <c r="T5" s="340"/>
      <c r="U5" s="340" t="s">
        <v>9</v>
      </c>
      <c r="V5" s="340" t="s">
        <v>10</v>
      </c>
    </row>
    <row r="6" spans="1:23" s="4" customFormat="1" ht="15.75" customHeight="1" x14ac:dyDescent="0.25">
      <c r="A6" s="341"/>
      <c r="B6" s="341"/>
      <c r="C6" s="344"/>
      <c r="D6" s="57" t="s">
        <v>11</v>
      </c>
      <c r="E6" s="57" t="s">
        <v>12</v>
      </c>
      <c r="F6" s="57" t="s">
        <v>11</v>
      </c>
      <c r="G6" s="57" t="s">
        <v>12</v>
      </c>
      <c r="H6" s="57"/>
      <c r="I6" s="344"/>
      <c r="J6" s="57" t="s">
        <v>11</v>
      </c>
      <c r="K6" s="57" t="s">
        <v>12</v>
      </c>
      <c r="L6" s="57" t="s">
        <v>11</v>
      </c>
      <c r="M6" s="57" t="s">
        <v>12</v>
      </c>
      <c r="N6" s="340"/>
      <c r="O6" s="58"/>
      <c r="P6" s="344"/>
      <c r="Q6" s="57" t="s">
        <v>11</v>
      </c>
      <c r="R6" s="57" t="s">
        <v>12</v>
      </c>
      <c r="S6" s="57" t="s">
        <v>11</v>
      </c>
      <c r="T6" s="57" t="s">
        <v>12</v>
      </c>
      <c r="U6" s="340"/>
      <c r="V6" s="340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 t="e">
        <f>#REF!+ht!D7</f>
        <v>#REF!</v>
      </c>
      <c r="F7" s="8">
        <v>0</v>
      </c>
      <c r="G7" s="8" t="e">
        <f>#REF!+ht!F7</f>
        <v>#REF!</v>
      </c>
      <c r="H7" s="8" t="e">
        <f>#REF!+ht!D7-ht!F7</f>
        <v>#REF!</v>
      </c>
      <c r="I7" s="8">
        <v>374.98699999999997</v>
      </c>
      <c r="J7" s="8">
        <v>0</v>
      </c>
      <c r="K7" s="8" t="e">
        <f>#REF!+ht!J7</f>
        <v>#REF!</v>
      </c>
      <c r="L7" s="8">
        <v>0</v>
      </c>
      <c r="M7" s="8" t="e">
        <f>#REF!+ht!L7</f>
        <v>#REF!</v>
      </c>
      <c r="N7" s="8" t="e">
        <f>#REF!+ht!J7-ht!M7</f>
        <v>#REF!</v>
      </c>
      <c r="O7" s="9">
        <f>D7+J7</f>
        <v>0</v>
      </c>
      <c r="P7" s="10">
        <v>1.2</v>
      </c>
      <c r="Q7" s="10">
        <v>0</v>
      </c>
      <c r="R7" s="8" t="e">
        <f>#REF!+ht!Q7</f>
        <v>#REF!</v>
      </c>
      <c r="S7" s="10">
        <v>0</v>
      </c>
      <c r="T7" s="8" t="e">
        <f>#REF!+ht!S7</f>
        <v>#REF!</v>
      </c>
      <c r="U7" s="8" t="e">
        <f>#REF!+ht!Q7-ht!S7</f>
        <v>#REF!</v>
      </c>
      <c r="V7" s="8" t="e">
        <f>H7+N7+U7</f>
        <v>#REF!</v>
      </c>
    </row>
    <row r="8" spans="1:23" s="11" customFormat="1" ht="19.5" customHeight="1" x14ac:dyDescent="0.3">
      <c r="A8" s="5">
        <v>2</v>
      </c>
      <c r="B8" s="6" t="s">
        <v>65</v>
      </c>
      <c r="C8" s="7"/>
      <c r="D8" s="8">
        <v>0</v>
      </c>
      <c r="E8" s="8" t="e">
        <f>#REF!+ht!D8</f>
        <v>#REF!</v>
      </c>
      <c r="F8" s="8">
        <v>0</v>
      </c>
      <c r="G8" s="8" t="e">
        <f>#REF!+ht!F8</f>
        <v>#REF!</v>
      </c>
      <c r="H8" s="8" t="e">
        <f>#REF!+ht!D8-ht!F8</f>
        <v>#REF!</v>
      </c>
      <c r="I8" s="8"/>
      <c r="J8" s="8">
        <v>0</v>
      </c>
      <c r="K8" s="8" t="e">
        <f>#REF!+ht!J8</f>
        <v>#REF!</v>
      </c>
      <c r="L8" s="8">
        <v>0</v>
      </c>
      <c r="M8" s="8" t="e">
        <f>#REF!+ht!L8</f>
        <v>#REF!</v>
      </c>
      <c r="N8" s="8" t="e">
        <f>#REF!+ht!J8-ht!M8</f>
        <v>#REF!</v>
      </c>
      <c r="O8" s="9"/>
      <c r="P8" s="10"/>
      <c r="Q8" s="10">
        <v>0</v>
      </c>
      <c r="R8" s="8" t="e">
        <f>#REF!+ht!Q8</f>
        <v>#REF!</v>
      </c>
      <c r="S8" s="10">
        <v>0</v>
      </c>
      <c r="T8" s="8" t="e">
        <f>#REF!+ht!S8</f>
        <v>#REF!</v>
      </c>
      <c r="U8" s="8" t="e">
        <f>#REF!+ht!Q8-ht!S8</f>
        <v>#REF!</v>
      </c>
      <c r="V8" s="8" t="e">
        <f t="shared" ref="V8:V52" si="0">H8+N8+U8</f>
        <v>#REF!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 t="e">
        <f>#REF!+ht!D9</f>
        <v>#REF!</v>
      </c>
      <c r="F9" s="8">
        <v>0</v>
      </c>
      <c r="G9" s="8" t="e">
        <f>#REF!+ht!F9</f>
        <v>#REF!</v>
      </c>
      <c r="H9" s="8" t="e">
        <f>#REF!+ht!D9-ht!F9</f>
        <v>#REF!</v>
      </c>
      <c r="I9" s="8">
        <v>377.63600000000002</v>
      </c>
      <c r="J9" s="8">
        <v>0</v>
      </c>
      <c r="K9" s="8" t="e">
        <f>#REF!+ht!J9</f>
        <v>#REF!</v>
      </c>
      <c r="L9" s="8">
        <v>0</v>
      </c>
      <c r="M9" s="8" t="e">
        <f>#REF!+ht!L9</f>
        <v>#REF!</v>
      </c>
      <c r="N9" s="8" t="e">
        <f>#REF!+ht!J9-ht!M9</f>
        <v>#REF!</v>
      </c>
      <c r="O9" s="9">
        <f>D9+J9</f>
        <v>0</v>
      </c>
      <c r="P9" s="10">
        <v>10.44</v>
      </c>
      <c r="Q9" s="10">
        <v>0</v>
      </c>
      <c r="R9" s="8" t="e">
        <f>#REF!+ht!Q9</f>
        <v>#REF!</v>
      </c>
      <c r="S9" s="10">
        <v>0</v>
      </c>
      <c r="T9" s="8" t="e">
        <f>#REF!+ht!S9</f>
        <v>#REF!</v>
      </c>
      <c r="U9" s="8" t="e">
        <f>#REF!+ht!Q9-ht!S9</f>
        <v>#REF!</v>
      </c>
      <c r="V9" s="8" t="e">
        <f t="shared" si="0"/>
        <v>#REF!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 t="e">
        <f>#REF!+ht!D10</f>
        <v>#REF!</v>
      </c>
      <c r="F10" s="8">
        <v>0</v>
      </c>
      <c r="G10" s="8" t="e">
        <f>#REF!+ht!F10</f>
        <v>#REF!</v>
      </c>
      <c r="H10" s="8" t="e">
        <f>#REF!+ht!D10-ht!F10</f>
        <v>#REF!</v>
      </c>
      <c r="I10" s="8">
        <v>281.17800000000005</v>
      </c>
      <c r="J10" s="8">
        <v>0</v>
      </c>
      <c r="K10" s="8" t="e">
        <f>#REF!+ht!J10</f>
        <v>#REF!</v>
      </c>
      <c r="L10" s="8">
        <v>0</v>
      </c>
      <c r="M10" s="8" t="e">
        <f>#REF!+ht!L10</f>
        <v>#REF!</v>
      </c>
      <c r="N10" s="8" t="e">
        <f>#REF!+ht!J10-ht!M10</f>
        <v>#REF!</v>
      </c>
      <c r="O10" s="9">
        <f>D10+J10</f>
        <v>0</v>
      </c>
      <c r="P10" s="10">
        <v>0</v>
      </c>
      <c r="Q10" s="10">
        <v>0</v>
      </c>
      <c r="R10" s="8" t="e">
        <f>#REF!+ht!Q10</f>
        <v>#REF!</v>
      </c>
      <c r="S10" s="10">
        <v>0</v>
      </c>
      <c r="T10" s="8" t="e">
        <f>#REF!+ht!S10</f>
        <v>#REF!</v>
      </c>
      <c r="U10" s="8" t="e">
        <f>#REF!+ht!Q10-ht!S10</f>
        <v>#REF!</v>
      </c>
      <c r="V10" s="8" t="e">
        <f t="shared" si="0"/>
        <v>#REF!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 t="e">
        <f>#REF!+ht!D11</f>
        <v>#REF!</v>
      </c>
      <c r="F11" s="15">
        <f t="shared" ref="F11:V11" si="1">SUM(F7:F10)</f>
        <v>0</v>
      </c>
      <c r="G11" s="15" t="e">
        <f>#REF!+ht!F11</f>
        <v>#REF!</v>
      </c>
      <c r="H11" s="15" t="e">
        <f>#REF!+ht!D11-ht!F11</f>
        <v>#REF!</v>
      </c>
      <c r="I11" s="15">
        <f t="shared" si="1"/>
        <v>1033.8010000000002</v>
      </c>
      <c r="J11" s="15">
        <f t="shared" si="1"/>
        <v>0</v>
      </c>
      <c r="K11" s="15" t="e">
        <f>#REF!+ht!J11</f>
        <v>#REF!</v>
      </c>
      <c r="L11" s="15">
        <f t="shared" si="1"/>
        <v>0</v>
      </c>
      <c r="M11" s="15" t="e">
        <f>#REF!+ht!L11</f>
        <v>#REF!</v>
      </c>
      <c r="N11" s="15" t="e">
        <f>#REF!+ht!J11-ht!M11</f>
        <v>#REF!</v>
      </c>
      <c r="O11" s="15">
        <f t="shared" si="1"/>
        <v>0</v>
      </c>
      <c r="P11" s="15">
        <f t="shared" si="1"/>
        <v>11.639999999999999</v>
      </c>
      <c r="Q11" s="15">
        <f t="shared" si="1"/>
        <v>0</v>
      </c>
      <c r="R11" s="15" t="e">
        <f>#REF!+ht!Q11</f>
        <v>#REF!</v>
      </c>
      <c r="S11" s="15">
        <f t="shared" si="1"/>
        <v>0</v>
      </c>
      <c r="T11" s="15" t="e">
        <f>#REF!+ht!S11</f>
        <v>#REF!</v>
      </c>
      <c r="U11" s="15" t="e">
        <f>#REF!+ht!Q11-ht!S11</f>
        <v>#REF!</v>
      </c>
      <c r="V11" s="15" t="e">
        <f t="shared" si="1"/>
        <v>#REF!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</v>
      </c>
      <c r="E12" s="8" t="e">
        <f>#REF!+ht!D12</f>
        <v>#REF!</v>
      </c>
      <c r="F12" s="8">
        <v>0</v>
      </c>
      <c r="G12" s="8" t="e">
        <f>#REF!+ht!F12</f>
        <v>#REF!</v>
      </c>
      <c r="H12" s="8" t="e">
        <f>#REF!+ht!D12-ht!F12</f>
        <v>#REF!</v>
      </c>
      <c r="I12" s="8">
        <v>542.76800000000014</v>
      </c>
      <c r="J12" s="8">
        <v>0</v>
      </c>
      <c r="K12" s="8" t="e">
        <f>#REF!+ht!J12</f>
        <v>#REF!</v>
      </c>
      <c r="L12" s="8">
        <v>0</v>
      </c>
      <c r="M12" s="8" t="e">
        <f>#REF!+ht!L12</f>
        <v>#REF!</v>
      </c>
      <c r="N12" s="8" t="e">
        <f>#REF!+ht!J12-ht!M12</f>
        <v>#REF!</v>
      </c>
      <c r="O12" s="9">
        <f>D12+J12</f>
        <v>0</v>
      </c>
      <c r="P12" s="10">
        <v>4.57</v>
      </c>
      <c r="Q12" s="10">
        <v>0</v>
      </c>
      <c r="R12" s="8" t="e">
        <f>#REF!+ht!Q12</f>
        <v>#REF!</v>
      </c>
      <c r="S12" s="10">
        <v>0</v>
      </c>
      <c r="T12" s="8" t="e">
        <f>#REF!+ht!S12</f>
        <v>#REF!</v>
      </c>
      <c r="U12" s="8" t="e">
        <f>#REF!+ht!Q12-ht!S12</f>
        <v>#REF!</v>
      </c>
      <c r="V12" s="8" t="e">
        <f t="shared" si="0"/>
        <v>#REF!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 t="e">
        <f>#REF!+ht!D13</f>
        <v>#REF!</v>
      </c>
      <c r="F13" s="8">
        <v>0</v>
      </c>
      <c r="G13" s="8" t="e">
        <f>#REF!+ht!F13</f>
        <v>#REF!</v>
      </c>
      <c r="H13" s="8" t="e">
        <f>#REF!+ht!D13-ht!F13</f>
        <v>#REF!</v>
      </c>
      <c r="I13" s="8">
        <v>370.01399999999995</v>
      </c>
      <c r="J13" s="8">
        <v>0</v>
      </c>
      <c r="K13" s="8" t="e">
        <f>#REF!+ht!J13</f>
        <v>#REF!</v>
      </c>
      <c r="L13" s="8">
        <v>0</v>
      </c>
      <c r="M13" s="8" t="e">
        <f>#REF!+ht!L13</f>
        <v>#REF!</v>
      </c>
      <c r="N13" s="8" t="e">
        <f>#REF!+ht!J13-ht!M13</f>
        <v>#REF!</v>
      </c>
      <c r="O13" s="9">
        <f>D13+J13</f>
        <v>0</v>
      </c>
      <c r="P13" s="10">
        <v>4.4930000000000003</v>
      </c>
      <c r="Q13" s="10">
        <v>0</v>
      </c>
      <c r="R13" s="8" t="e">
        <f>#REF!+ht!Q13</f>
        <v>#REF!</v>
      </c>
      <c r="S13" s="10">
        <v>0</v>
      </c>
      <c r="T13" s="8" t="e">
        <f>#REF!+ht!S13</f>
        <v>#REF!</v>
      </c>
      <c r="U13" s="8" t="e">
        <f>#REF!+ht!Q13-ht!S13</f>
        <v>#REF!</v>
      </c>
      <c r="V13" s="8" t="e">
        <f t="shared" si="0"/>
        <v>#REF!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</v>
      </c>
      <c r="E14" s="8" t="e">
        <f>#REF!+ht!D14</f>
        <v>#REF!</v>
      </c>
      <c r="F14" s="8">
        <v>0</v>
      </c>
      <c r="G14" s="8" t="e">
        <f>#REF!+ht!F14</f>
        <v>#REF!</v>
      </c>
      <c r="H14" s="8" t="e">
        <f>#REF!+ht!D14-ht!F14</f>
        <v>#REF!</v>
      </c>
      <c r="I14" s="8">
        <v>284.35599999999999</v>
      </c>
      <c r="J14" s="8">
        <v>0</v>
      </c>
      <c r="K14" s="8" t="e">
        <f>#REF!+ht!J14</f>
        <v>#REF!</v>
      </c>
      <c r="L14" s="8">
        <v>0</v>
      </c>
      <c r="M14" s="8" t="e">
        <f>#REF!+ht!L14</f>
        <v>#REF!</v>
      </c>
      <c r="N14" s="8" t="e">
        <f>#REF!+ht!J14-ht!M14</f>
        <v>#REF!</v>
      </c>
      <c r="O14" s="9">
        <f>D14+J14</f>
        <v>0</v>
      </c>
      <c r="P14" s="10">
        <v>6.7349999999999994</v>
      </c>
      <c r="Q14" s="10">
        <v>0</v>
      </c>
      <c r="R14" s="8" t="e">
        <f>#REF!+ht!Q14</f>
        <v>#REF!</v>
      </c>
      <c r="S14" s="10">
        <v>0</v>
      </c>
      <c r="T14" s="8" t="e">
        <f>#REF!+ht!S14</f>
        <v>#REF!</v>
      </c>
      <c r="U14" s="8" t="e">
        <f>#REF!+ht!Q14-ht!S14</f>
        <v>#REF!</v>
      </c>
      <c r="V14" s="8" t="e">
        <f t="shared" si="0"/>
        <v>#REF!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</v>
      </c>
      <c r="E15" s="15" t="e">
        <f>#REF!+ht!D15</f>
        <v>#REF!</v>
      </c>
      <c r="F15" s="15">
        <f t="shared" ref="F15:V15" si="2">F14+F13+F12</f>
        <v>0</v>
      </c>
      <c r="G15" s="15" t="e">
        <f>#REF!+ht!F15</f>
        <v>#REF!</v>
      </c>
      <c r="H15" s="15" t="e">
        <f>#REF!+ht!D15-ht!F15</f>
        <v>#REF!</v>
      </c>
      <c r="I15" s="15">
        <f t="shared" si="2"/>
        <v>1197.1379999999999</v>
      </c>
      <c r="J15" s="15">
        <f t="shared" si="2"/>
        <v>0</v>
      </c>
      <c r="K15" s="15" t="e">
        <f>#REF!+ht!J15</f>
        <v>#REF!</v>
      </c>
      <c r="L15" s="15">
        <f t="shared" si="2"/>
        <v>0</v>
      </c>
      <c r="M15" s="15" t="e">
        <f>#REF!+ht!L15</f>
        <v>#REF!</v>
      </c>
      <c r="N15" s="15" t="e">
        <f>#REF!+ht!J15-ht!M15</f>
        <v>#REF!</v>
      </c>
      <c r="O15" s="15">
        <f t="shared" si="2"/>
        <v>0</v>
      </c>
      <c r="P15" s="15">
        <f t="shared" si="2"/>
        <v>15.798</v>
      </c>
      <c r="Q15" s="15">
        <f t="shared" si="2"/>
        <v>0</v>
      </c>
      <c r="R15" s="15" t="e">
        <f>#REF!+ht!Q15</f>
        <v>#REF!</v>
      </c>
      <c r="S15" s="15">
        <f t="shared" si="2"/>
        <v>0</v>
      </c>
      <c r="T15" s="15" t="e">
        <f>#REF!+ht!S15</f>
        <v>#REF!</v>
      </c>
      <c r="U15" s="15" t="e">
        <f>#REF!+ht!Q15-ht!S15</f>
        <v>#REF!</v>
      </c>
      <c r="V15" s="15" t="e">
        <f t="shared" si="2"/>
        <v>#REF!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</v>
      </c>
      <c r="E16" s="8" t="e">
        <f>#REF!+ht!D16</f>
        <v>#REF!</v>
      </c>
      <c r="F16" s="8">
        <v>0</v>
      </c>
      <c r="G16" s="8" t="e">
        <f>#REF!+ht!F16</f>
        <v>#REF!</v>
      </c>
      <c r="H16" s="8" t="e">
        <f>#REF!+ht!D16-ht!F16</f>
        <v>#REF!</v>
      </c>
      <c r="I16" s="8">
        <v>38.61</v>
      </c>
      <c r="J16" s="8">
        <v>0</v>
      </c>
      <c r="K16" s="8" t="e">
        <f>#REF!+ht!J16</f>
        <v>#REF!</v>
      </c>
      <c r="L16" s="8">
        <v>0</v>
      </c>
      <c r="M16" s="8" t="e">
        <f>#REF!+ht!L16</f>
        <v>#REF!</v>
      </c>
      <c r="N16" s="8" t="e">
        <f>#REF!+ht!J16-ht!M16</f>
        <v>#REF!</v>
      </c>
      <c r="O16" s="9">
        <f>D16+J16</f>
        <v>0</v>
      </c>
      <c r="P16" s="10">
        <v>93.77</v>
      </c>
      <c r="Q16" s="10">
        <v>0</v>
      </c>
      <c r="R16" s="8" t="e">
        <f>#REF!+ht!Q16</f>
        <v>#REF!</v>
      </c>
      <c r="S16" s="10">
        <v>0</v>
      </c>
      <c r="T16" s="8" t="e">
        <f>#REF!+ht!S16</f>
        <v>#REF!</v>
      </c>
      <c r="U16" s="8" t="e">
        <f>#REF!+ht!Q16-ht!S16</f>
        <v>#REF!</v>
      </c>
      <c r="V16" s="8" t="e">
        <f t="shared" si="0"/>
        <v>#REF!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 t="e">
        <f>#REF!+ht!D17</f>
        <v>#REF!</v>
      </c>
      <c r="F17" s="21">
        <v>0</v>
      </c>
      <c r="G17" s="8" t="e">
        <f>#REF!+ht!F17</f>
        <v>#REF!</v>
      </c>
      <c r="H17" s="8" t="e">
        <f>#REF!+ht!D17-ht!F17</f>
        <v>#REF!</v>
      </c>
      <c r="I17" s="21">
        <v>265.88</v>
      </c>
      <c r="J17" s="21">
        <v>0</v>
      </c>
      <c r="K17" s="8" t="e">
        <f>#REF!+ht!J17</f>
        <v>#REF!</v>
      </c>
      <c r="L17" s="21">
        <v>0</v>
      </c>
      <c r="M17" s="8" t="e">
        <f>#REF!+ht!L17</f>
        <v>#REF!</v>
      </c>
      <c r="N17" s="8" t="e">
        <f>#REF!+ht!J17-ht!M17</f>
        <v>#REF!</v>
      </c>
      <c r="O17" s="22">
        <f>D17+J17</f>
        <v>0</v>
      </c>
      <c r="P17" s="23">
        <v>6.11</v>
      </c>
      <c r="Q17" s="23">
        <v>0</v>
      </c>
      <c r="R17" s="8" t="e">
        <f>#REF!+ht!Q17</f>
        <v>#REF!</v>
      </c>
      <c r="S17" s="10">
        <v>0</v>
      </c>
      <c r="T17" s="8" t="e">
        <f>#REF!+ht!S17</f>
        <v>#REF!</v>
      </c>
      <c r="U17" s="8" t="e">
        <f>#REF!+ht!Q17-ht!S17</f>
        <v>#REF!</v>
      </c>
      <c r="V17" s="8" t="e">
        <f t="shared" si="0"/>
        <v>#REF!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</v>
      </c>
      <c r="E18" s="8" t="e">
        <f>#REF!+ht!D18</f>
        <v>#REF!</v>
      </c>
      <c r="F18" s="8">
        <v>0</v>
      </c>
      <c r="G18" s="8" t="e">
        <f>#REF!+ht!F18</f>
        <v>#REF!</v>
      </c>
      <c r="H18" s="8" t="e">
        <f>#REF!+ht!D18-ht!F18</f>
        <v>#REF!</v>
      </c>
      <c r="I18" s="8">
        <v>305.74</v>
      </c>
      <c r="J18" s="8">
        <v>0</v>
      </c>
      <c r="K18" s="8" t="e">
        <f>#REF!+ht!J18</f>
        <v>#REF!</v>
      </c>
      <c r="L18" s="8">
        <v>0</v>
      </c>
      <c r="M18" s="8" t="e">
        <f>#REF!+ht!L18</f>
        <v>#REF!</v>
      </c>
      <c r="N18" s="8" t="e">
        <f>#REF!+ht!J18-ht!M18</f>
        <v>#REF!</v>
      </c>
      <c r="O18" s="9">
        <f>D18+J18</f>
        <v>0</v>
      </c>
      <c r="P18" s="10">
        <v>1.92</v>
      </c>
      <c r="Q18" s="10">
        <v>0</v>
      </c>
      <c r="R18" s="8" t="e">
        <f>#REF!+ht!Q18</f>
        <v>#REF!</v>
      </c>
      <c r="S18" s="10">
        <v>0</v>
      </c>
      <c r="T18" s="8" t="e">
        <f>#REF!+ht!S18</f>
        <v>#REF!</v>
      </c>
      <c r="U18" s="8" t="e">
        <f>#REF!+ht!Q18-ht!S18</f>
        <v>#REF!</v>
      </c>
      <c r="V18" s="8" t="e">
        <f t="shared" si="0"/>
        <v>#REF!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</v>
      </c>
      <c r="E19" s="15" t="e">
        <f>#REF!+ht!D19</f>
        <v>#REF!</v>
      </c>
      <c r="F19" s="15">
        <f t="shared" ref="F19:V19" si="3">F16+F17+F18</f>
        <v>0</v>
      </c>
      <c r="G19" s="15" t="e">
        <f>#REF!+ht!F19</f>
        <v>#REF!</v>
      </c>
      <c r="H19" s="15" t="e">
        <f>#REF!+ht!D19-ht!F19</f>
        <v>#REF!</v>
      </c>
      <c r="I19" s="15">
        <f t="shared" si="3"/>
        <v>610.23</v>
      </c>
      <c r="J19" s="15">
        <f t="shared" si="3"/>
        <v>0</v>
      </c>
      <c r="K19" s="15" t="e">
        <f>#REF!+ht!J19</f>
        <v>#REF!</v>
      </c>
      <c r="L19" s="15">
        <f t="shared" si="3"/>
        <v>0</v>
      </c>
      <c r="M19" s="15" t="e">
        <f>#REF!+ht!L19</f>
        <v>#REF!</v>
      </c>
      <c r="N19" s="15" t="e">
        <f>#REF!+ht!J19-ht!M19</f>
        <v>#REF!</v>
      </c>
      <c r="O19" s="15">
        <f t="shared" si="3"/>
        <v>0</v>
      </c>
      <c r="P19" s="15">
        <f t="shared" si="3"/>
        <v>101.8</v>
      </c>
      <c r="Q19" s="15">
        <f t="shared" si="3"/>
        <v>0</v>
      </c>
      <c r="R19" s="15" t="e">
        <f>#REF!+ht!Q19</f>
        <v>#REF!</v>
      </c>
      <c r="S19" s="15">
        <f t="shared" si="3"/>
        <v>0</v>
      </c>
      <c r="T19" s="15" t="e">
        <f>#REF!+ht!S19</f>
        <v>#REF!</v>
      </c>
      <c r="U19" s="15" t="e">
        <f>#REF!+ht!Q19-ht!S19</f>
        <v>#REF!</v>
      </c>
      <c r="V19" s="15" t="e">
        <f t="shared" si="3"/>
        <v>#REF!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</v>
      </c>
      <c r="E20" s="8" t="e">
        <f>#REF!+ht!D20</f>
        <v>#REF!</v>
      </c>
      <c r="F20" s="8">
        <v>0</v>
      </c>
      <c r="G20" s="8" t="e">
        <f>#REF!+ht!F20</f>
        <v>#REF!</v>
      </c>
      <c r="H20" s="8" t="e">
        <f>#REF!+ht!D20-ht!F20</f>
        <v>#REF!</v>
      </c>
      <c r="I20" s="8">
        <v>115.875</v>
      </c>
      <c r="J20" s="8">
        <v>0</v>
      </c>
      <c r="K20" s="8" t="e">
        <f>#REF!+ht!J20</f>
        <v>#REF!</v>
      </c>
      <c r="L20" s="8">
        <v>0</v>
      </c>
      <c r="M20" s="8" t="e">
        <f>#REF!+ht!L20</f>
        <v>#REF!</v>
      </c>
      <c r="N20" s="8" t="e">
        <f>#REF!+ht!J20-ht!M20</f>
        <v>#REF!</v>
      </c>
      <c r="O20" s="9">
        <f>D20+J20</f>
        <v>0</v>
      </c>
      <c r="P20" s="10">
        <v>0.62</v>
      </c>
      <c r="Q20" s="10">
        <v>0</v>
      </c>
      <c r="R20" s="8" t="e">
        <f>#REF!+ht!Q20</f>
        <v>#REF!</v>
      </c>
      <c r="S20" s="10">
        <v>0</v>
      </c>
      <c r="T20" s="8" t="e">
        <f>#REF!+ht!S20</f>
        <v>#REF!</v>
      </c>
      <c r="U20" s="8" t="e">
        <f>#REF!+ht!Q20-ht!S20</f>
        <v>#REF!</v>
      </c>
      <c r="V20" s="8" t="e">
        <f t="shared" si="0"/>
        <v>#REF!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 t="e">
        <f>#REF!+ht!D21</f>
        <v>#REF!</v>
      </c>
      <c r="F21" s="8">
        <v>0</v>
      </c>
      <c r="G21" s="8" t="e">
        <f>#REF!+ht!F21</f>
        <v>#REF!</v>
      </c>
      <c r="H21" s="8" t="e">
        <f>#REF!+ht!D21-ht!F21</f>
        <v>#REF!</v>
      </c>
      <c r="I21" s="8">
        <v>308.03899999999999</v>
      </c>
      <c r="J21" s="8">
        <v>0</v>
      </c>
      <c r="K21" s="8" t="e">
        <f>#REF!+ht!J21</f>
        <v>#REF!</v>
      </c>
      <c r="L21" s="8">
        <v>0</v>
      </c>
      <c r="M21" s="8" t="e">
        <f>#REF!+ht!L21</f>
        <v>#REF!</v>
      </c>
      <c r="N21" s="8" t="e">
        <f>#REF!+ht!J21-ht!M21</f>
        <v>#REF!</v>
      </c>
      <c r="O21" s="9">
        <f>D21+J21</f>
        <v>0</v>
      </c>
      <c r="P21" s="10">
        <v>5.48</v>
      </c>
      <c r="Q21" s="10">
        <v>0</v>
      </c>
      <c r="R21" s="8" t="e">
        <f>#REF!+ht!Q21</f>
        <v>#REF!</v>
      </c>
      <c r="S21" s="10">
        <v>0</v>
      </c>
      <c r="T21" s="8" t="e">
        <f>#REF!+ht!S21</f>
        <v>#REF!</v>
      </c>
      <c r="U21" s="8" t="e">
        <f>#REF!+ht!Q21-ht!S21</f>
        <v>#REF!</v>
      </c>
      <c r="V21" s="8" t="e">
        <f t="shared" si="0"/>
        <v>#REF!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 t="e">
        <f>#REF!+ht!D22</f>
        <v>#REF!</v>
      </c>
      <c r="F22" s="8">
        <v>0</v>
      </c>
      <c r="G22" s="8" t="e">
        <f>#REF!+ht!F22</f>
        <v>#REF!</v>
      </c>
      <c r="H22" s="8" t="e">
        <f>#REF!+ht!D22-ht!F22</f>
        <v>#REF!</v>
      </c>
      <c r="I22" s="8">
        <v>182.86399999999998</v>
      </c>
      <c r="J22" s="8">
        <v>0</v>
      </c>
      <c r="K22" s="8" t="e">
        <f>#REF!+ht!J22</f>
        <v>#REF!</v>
      </c>
      <c r="L22" s="8">
        <v>0</v>
      </c>
      <c r="M22" s="8" t="e">
        <f>#REF!+ht!L22</f>
        <v>#REF!</v>
      </c>
      <c r="N22" s="8" t="e">
        <f>#REF!+ht!J22-ht!M22</f>
        <v>#REF!</v>
      </c>
      <c r="O22" s="9">
        <f>D22+J22</f>
        <v>0</v>
      </c>
      <c r="P22" s="10">
        <v>5.87</v>
      </c>
      <c r="Q22" s="10">
        <v>0</v>
      </c>
      <c r="R22" s="8" t="e">
        <f>#REF!+ht!Q22</f>
        <v>#REF!</v>
      </c>
      <c r="S22" s="10">
        <v>0</v>
      </c>
      <c r="T22" s="8" t="e">
        <f>#REF!+ht!S22</f>
        <v>#REF!</v>
      </c>
      <c r="U22" s="8" t="e">
        <f>#REF!+ht!Q22-ht!S22</f>
        <v>#REF!</v>
      </c>
      <c r="V22" s="8" t="e">
        <f t="shared" si="0"/>
        <v>#REF!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</v>
      </c>
      <c r="E23" s="15" t="e">
        <f>#REF!+ht!D23</f>
        <v>#REF!</v>
      </c>
      <c r="F23" s="15">
        <f t="shared" ref="F23:V23" si="4">SUM(F20:F22)</f>
        <v>0</v>
      </c>
      <c r="G23" s="15" t="e">
        <f>#REF!+ht!F23</f>
        <v>#REF!</v>
      </c>
      <c r="H23" s="15" t="e">
        <f>#REF!+ht!D23-ht!F23</f>
        <v>#REF!</v>
      </c>
      <c r="I23" s="15">
        <f t="shared" si="4"/>
        <v>606.77800000000002</v>
      </c>
      <c r="J23" s="15">
        <f t="shared" si="4"/>
        <v>0</v>
      </c>
      <c r="K23" s="15" t="e">
        <f>#REF!+ht!J23</f>
        <v>#REF!</v>
      </c>
      <c r="L23" s="15">
        <f t="shared" si="4"/>
        <v>0</v>
      </c>
      <c r="M23" s="15" t="e">
        <f>#REF!+ht!L23</f>
        <v>#REF!</v>
      </c>
      <c r="N23" s="15" t="e">
        <f>#REF!+ht!J23-ht!M23</f>
        <v>#REF!</v>
      </c>
      <c r="O23" s="15">
        <f t="shared" si="4"/>
        <v>0</v>
      </c>
      <c r="P23" s="15">
        <f t="shared" si="4"/>
        <v>11.97</v>
      </c>
      <c r="Q23" s="15">
        <f t="shared" si="4"/>
        <v>0</v>
      </c>
      <c r="R23" s="15" t="e">
        <f>#REF!+ht!Q23</f>
        <v>#REF!</v>
      </c>
      <c r="S23" s="15">
        <f t="shared" si="4"/>
        <v>0</v>
      </c>
      <c r="T23" s="15" t="e">
        <f>#REF!+ht!S23</f>
        <v>#REF!</v>
      </c>
      <c r="U23" s="15" t="e">
        <f>#REF!+ht!Q23-ht!S23</f>
        <v>#REF!</v>
      </c>
      <c r="V23" s="15" t="e">
        <f t="shared" si="4"/>
        <v>#REF!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0</v>
      </c>
      <c r="E24" s="15" t="e">
        <f>#REF!+ht!D24</f>
        <v>#REF!</v>
      </c>
      <c r="F24" s="15">
        <f t="shared" ref="F24:V24" si="5">F23+F19+F15+F11</f>
        <v>0</v>
      </c>
      <c r="G24" s="15" t="e">
        <f>#REF!+ht!F24</f>
        <v>#REF!</v>
      </c>
      <c r="H24" s="15" t="e">
        <f>#REF!+ht!D24-ht!F24</f>
        <v>#REF!</v>
      </c>
      <c r="I24" s="15">
        <f t="shared" si="5"/>
        <v>3447.9470000000001</v>
      </c>
      <c r="J24" s="15">
        <f t="shared" si="5"/>
        <v>0</v>
      </c>
      <c r="K24" s="15" t="e">
        <f>#REF!+ht!J24</f>
        <v>#REF!</v>
      </c>
      <c r="L24" s="15">
        <f t="shared" si="5"/>
        <v>0</v>
      </c>
      <c r="M24" s="15" t="e">
        <f>#REF!+ht!L24</f>
        <v>#REF!</v>
      </c>
      <c r="N24" s="15" t="e">
        <f>#REF!+ht!J24-ht!M24</f>
        <v>#REF!</v>
      </c>
      <c r="O24" s="15">
        <f t="shared" si="5"/>
        <v>0</v>
      </c>
      <c r="P24" s="15">
        <f t="shared" si="5"/>
        <v>141.20799999999997</v>
      </c>
      <c r="Q24" s="15">
        <f t="shared" si="5"/>
        <v>0</v>
      </c>
      <c r="R24" s="15" t="e">
        <f>#REF!+ht!Q24</f>
        <v>#REF!</v>
      </c>
      <c r="S24" s="15">
        <f t="shared" si="5"/>
        <v>0</v>
      </c>
      <c r="T24" s="15" t="e">
        <f>#REF!+ht!S24</f>
        <v>#REF!</v>
      </c>
      <c r="U24" s="15" t="e">
        <f>#REF!+ht!Q24-ht!S24</f>
        <v>#REF!</v>
      </c>
      <c r="V24" s="15" t="e">
        <f t="shared" si="5"/>
        <v>#REF!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0</v>
      </c>
      <c r="E25" s="8" t="e">
        <f>#REF!+ht!D25</f>
        <v>#REF!</v>
      </c>
      <c r="F25" s="8">
        <v>0</v>
      </c>
      <c r="G25" s="8" t="e">
        <f>#REF!+ht!F25</f>
        <v>#REF!</v>
      </c>
      <c r="H25" s="8" t="e">
        <f>#REF!+ht!D25-ht!F25</f>
        <v>#REF!</v>
      </c>
      <c r="I25" s="8">
        <v>42.29</v>
      </c>
      <c r="J25" s="8">
        <v>0</v>
      </c>
      <c r="K25" s="8" t="e">
        <f>#REF!+ht!J25</f>
        <v>#REF!</v>
      </c>
      <c r="L25" s="8">
        <v>0</v>
      </c>
      <c r="M25" s="8" t="e">
        <f>#REF!+ht!L25</f>
        <v>#REF!</v>
      </c>
      <c r="N25" s="8" t="e">
        <f>#REF!+ht!J25-ht!M25</f>
        <v>#REF!</v>
      </c>
      <c r="O25" s="9">
        <f>D25+J25</f>
        <v>0</v>
      </c>
      <c r="P25" s="10">
        <v>0</v>
      </c>
      <c r="Q25" s="10">
        <v>0</v>
      </c>
      <c r="R25" s="8" t="e">
        <f>#REF!+ht!Q25</f>
        <v>#REF!</v>
      </c>
      <c r="S25" s="10">
        <v>0</v>
      </c>
      <c r="T25" s="8" t="e">
        <f>#REF!+ht!S25</f>
        <v>#REF!</v>
      </c>
      <c r="U25" s="8" t="e">
        <f>#REF!+ht!Q25-ht!S25</f>
        <v>#REF!</v>
      </c>
      <c r="V25" s="8" t="e">
        <f t="shared" si="0"/>
        <v>#REF!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0</v>
      </c>
      <c r="E26" s="8" t="e">
        <f>#REF!+ht!D26</f>
        <v>#REF!</v>
      </c>
      <c r="F26" s="8">
        <v>0</v>
      </c>
      <c r="G26" s="8" t="e">
        <f>#REF!+ht!F26</f>
        <v>#REF!</v>
      </c>
      <c r="H26" s="8" t="e">
        <f>#REF!+ht!D26-ht!F26</f>
        <v>#REF!</v>
      </c>
      <c r="I26" s="8">
        <v>47.46</v>
      </c>
      <c r="J26" s="8">
        <v>0</v>
      </c>
      <c r="K26" s="8" t="e">
        <f>#REF!+ht!J26</f>
        <v>#REF!</v>
      </c>
      <c r="L26" s="8">
        <v>0</v>
      </c>
      <c r="M26" s="8" t="e">
        <f>#REF!+ht!L26</f>
        <v>#REF!</v>
      </c>
      <c r="N26" s="8" t="e">
        <f>#REF!+ht!J26-ht!M26</f>
        <v>#REF!</v>
      </c>
      <c r="O26" s="9">
        <f>D26+J26</f>
        <v>0</v>
      </c>
      <c r="P26" s="10">
        <v>0</v>
      </c>
      <c r="Q26" s="10">
        <v>0</v>
      </c>
      <c r="R26" s="8" t="e">
        <f>#REF!+ht!Q26</f>
        <v>#REF!</v>
      </c>
      <c r="S26" s="10">
        <v>0</v>
      </c>
      <c r="T26" s="8" t="e">
        <f>#REF!+ht!S26</f>
        <v>#REF!</v>
      </c>
      <c r="U26" s="8" t="e">
        <f>#REF!+ht!Q26-ht!S26</f>
        <v>#REF!</v>
      </c>
      <c r="V26" s="8" t="e">
        <f t="shared" si="0"/>
        <v>#REF!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0</v>
      </c>
      <c r="E27" s="15" t="e">
        <f>#REF!+ht!D27</f>
        <v>#REF!</v>
      </c>
      <c r="F27" s="15">
        <f t="shared" ref="F27:V27" si="6">F26+F25</f>
        <v>0</v>
      </c>
      <c r="G27" s="15" t="e">
        <f>#REF!+ht!F27</f>
        <v>#REF!</v>
      </c>
      <c r="H27" s="15" t="e">
        <f>#REF!+ht!D27-ht!F27</f>
        <v>#REF!</v>
      </c>
      <c r="I27" s="15">
        <f t="shared" si="6"/>
        <v>89.75</v>
      </c>
      <c r="J27" s="15">
        <f t="shared" si="6"/>
        <v>0</v>
      </c>
      <c r="K27" s="15" t="e">
        <f>#REF!+ht!J27</f>
        <v>#REF!</v>
      </c>
      <c r="L27" s="15">
        <f t="shared" si="6"/>
        <v>0</v>
      </c>
      <c r="M27" s="15" t="e">
        <f>#REF!+ht!L27</f>
        <v>#REF!</v>
      </c>
      <c r="N27" s="15" t="e">
        <f>#REF!+ht!J27-ht!M27</f>
        <v>#REF!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 t="e">
        <f>#REF!+ht!Q27</f>
        <v>#REF!</v>
      </c>
      <c r="S27" s="15">
        <f t="shared" si="6"/>
        <v>0</v>
      </c>
      <c r="T27" s="15" t="e">
        <f>#REF!+ht!S27</f>
        <v>#REF!</v>
      </c>
      <c r="U27" s="15" t="e">
        <f>#REF!+ht!Q27-ht!S27</f>
        <v>#REF!</v>
      </c>
      <c r="V27" s="15" t="e">
        <f t="shared" si="6"/>
        <v>#REF!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0</v>
      </c>
      <c r="E28" s="8" t="e">
        <f>#REF!+ht!D28</f>
        <v>#REF!</v>
      </c>
      <c r="F28" s="8">
        <v>0</v>
      </c>
      <c r="G28" s="8" t="e">
        <f>#REF!+ht!F28</f>
        <v>#REF!</v>
      </c>
      <c r="H28" s="8" t="e">
        <f>#REF!+ht!D28-ht!F28</f>
        <v>#REF!</v>
      </c>
      <c r="I28" s="8">
        <v>74.63</v>
      </c>
      <c r="J28" s="8">
        <v>0</v>
      </c>
      <c r="K28" s="8" t="e">
        <f>#REF!+ht!J28</f>
        <v>#REF!</v>
      </c>
      <c r="L28" s="8">
        <v>0</v>
      </c>
      <c r="M28" s="8" t="e">
        <f>#REF!+ht!L28</f>
        <v>#REF!</v>
      </c>
      <c r="N28" s="8" t="e">
        <f>#REF!+ht!J28-ht!M28</f>
        <v>#REF!</v>
      </c>
      <c r="O28" s="9">
        <f>D28+J28</f>
        <v>0</v>
      </c>
      <c r="P28" s="10">
        <v>0</v>
      </c>
      <c r="Q28" s="10">
        <v>0</v>
      </c>
      <c r="R28" s="8" t="e">
        <f>#REF!+ht!Q28</f>
        <v>#REF!</v>
      </c>
      <c r="S28" s="10">
        <v>0</v>
      </c>
      <c r="T28" s="8" t="e">
        <f>#REF!+ht!S28</f>
        <v>#REF!</v>
      </c>
      <c r="U28" s="8" t="e">
        <f>#REF!+ht!Q28-ht!S28</f>
        <v>#REF!</v>
      </c>
      <c r="V28" s="8" t="e">
        <f t="shared" si="0"/>
        <v>#REF!</v>
      </c>
    </row>
    <row r="29" spans="1:23" s="11" customFormat="1" ht="19.5" customHeight="1" x14ac:dyDescent="0.3">
      <c r="A29" s="5">
        <v>17</v>
      </c>
      <c r="B29" s="6" t="s">
        <v>64</v>
      </c>
      <c r="C29" s="7"/>
      <c r="D29" s="8">
        <v>0</v>
      </c>
      <c r="E29" s="8" t="e">
        <f>#REF!+ht!D29</f>
        <v>#REF!</v>
      </c>
      <c r="F29" s="8">
        <v>0</v>
      </c>
      <c r="G29" s="8" t="e">
        <f>#REF!+ht!F29</f>
        <v>#REF!</v>
      </c>
      <c r="H29" s="8" t="e">
        <f>#REF!+ht!D29-ht!F29</f>
        <v>#REF!</v>
      </c>
      <c r="I29" s="8"/>
      <c r="J29" s="8">
        <v>0</v>
      </c>
      <c r="K29" s="8" t="e">
        <f>#REF!+ht!J29</f>
        <v>#REF!</v>
      </c>
      <c r="L29" s="8">
        <v>0</v>
      </c>
      <c r="M29" s="8" t="e">
        <f>#REF!+ht!L29</f>
        <v>#REF!</v>
      </c>
      <c r="N29" s="8" t="e">
        <f>#REF!+ht!J29-ht!M29</f>
        <v>#REF!</v>
      </c>
      <c r="O29" s="9"/>
      <c r="P29" s="10"/>
      <c r="Q29" s="10">
        <v>0</v>
      </c>
      <c r="R29" s="8" t="e">
        <f>#REF!+ht!Q29</f>
        <v>#REF!</v>
      </c>
      <c r="S29" s="10">
        <v>0</v>
      </c>
      <c r="T29" s="8" t="e">
        <f>#REF!+ht!S29</f>
        <v>#REF!</v>
      </c>
      <c r="U29" s="8" t="e">
        <f>#REF!+ht!Q29-ht!S29</f>
        <v>#REF!</v>
      </c>
      <c r="V29" s="8" t="e">
        <f t="shared" si="0"/>
        <v>#REF!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0</v>
      </c>
      <c r="E30" s="8" t="e">
        <f>#REF!+ht!D30</f>
        <v>#REF!</v>
      </c>
      <c r="F30" s="8">
        <v>0</v>
      </c>
      <c r="G30" s="8" t="e">
        <f>#REF!+ht!F30</f>
        <v>#REF!</v>
      </c>
      <c r="H30" s="8" t="e">
        <f>#REF!+ht!D30-ht!F30</f>
        <v>#REF!</v>
      </c>
      <c r="I30" s="8"/>
      <c r="J30" s="8">
        <v>0</v>
      </c>
      <c r="K30" s="8" t="e">
        <f>#REF!+ht!J30</f>
        <v>#REF!</v>
      </c>
      <c r="L30" s="8">
        <v>0</v>
      </c>
      <c r="M30" s="8" t="e">
        <f>#REF!+ht!L30</f>
        <v>#REF!</v>
      </c>
      <c r="N30" s="8" t="e">
        <f>#REF!+ht!J30-ht!M30</f>
        <v>#REF!</v>
      </c>
      <c r="O30" s="9"/>
      <c r="P30" s="10"/>
      <c r="Q30" s="10">
        <v>0</v>
      </c>
      <c r="R30" s="8" t="e">
        <f>#REF!+ht!Q30</f>
        <v>#REF!</v>
      </c>
      <c r="S30" s="10">
        <v>0</v>
      </c>
      <c r="T30" s="8" t="e">
        <f>#REF!+ht!S30</f>
        <v>#REF!</v>
      </c>
      <c r="U30" s="8" t="e">
        <f>#REF!+ht!Q30-ht!S30</f>
        <v>#REF!</v>
      </c>
      <c r="V30" s="8" t="e">
        <f t="shared" si="0"/>
        <v>#REF!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0</v>
      </c>
      <c r="E31" s="8" t="e">
        <f>#REF!+ht!D31</f>
        <v>#REF!</v>
      </c>
      <c r="F31" s="8">
        <v>0</v>
      </c>
      <c r="G31" s="8" t="e">
        <f>#REF!+ht!F31</f>
        <v>#REF!</v>
      </c>
      <c r="H31" s="8" t="e">
        <f>#REF!+ht!D31-ht!F31</f>
        <v>#REF!</v>
      </c>
      <c r="I31" s="8">
        <v>109.83</v>
      </c>
      <c r="J31" s="8">
        <v>0</v>
      </c>
      <c r="K31" s="8" t="e">
        <f>#REF!+ht!J31</f>
        <v>#REF!</v>
      </c>
      <c r="L31" s="8">
        <v>0</v>
      </c>
      <c r="M31" s="8" t="e">
        <f>#REF!+ht!L31</f>
        <v>#REF!</v>
      </c>
      <c r="N31" s="8" t="e">
        <f>#REF!+ht!J31-ht!M31</f>
        <v>#REF!</v>
      </c>
      <c r="O31" s="9">
        <f>D31+J31</f>
        <v>0</v>
      </c>
      <c r="P31" s="10">
        <v>0</v>
      </c>
      <c r="Q31" s="10">
        <v>0</v>
      </c>
      <c r="R31" s="8" t="e">
        <f>#REF!+ht!Q31</f>
        <v>#REF!</v>
      </c>
      <c r="S31" s="10">
        <v>0</v>
      </c>
      <c r="T31" s="8" t="e">
        <f>#REF!+ht!S31</f>
        <v>#REF!</v>
      </c>
      <c r="U31" s="8" t="e">
        <f>#REF!+ht!Q31-ht!S31</f>
        <v>#REF!</v>
      </c>
      <c r="V31" s="8" t="e">
        <f t="shared" si="0"/>
        <v>#REF!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0</v>
      </c>
      <c r="E32" s="15" t="e">
        <f>#REF!+ht!D32</f>
        <v>#REF!</v>
      </c>
      <c r="F32" s="15">
        <f t="shared" ref="F32:V32" si="7">F31+F30+F29+F28</f>
        <v>0</v>
      </c>
      <c r="G32" s="15" t="e">
        <f>#REF!+ht!F32</f>
        <v>#REF!</v>
      </c>
      <c r="H32" s="15" t="e">
        <f>#REF!+ht!D32-ht!F32</f>
        <v>#REF!</v>
      </c>
      <c r="I32" s="15">
        <f t="shared" si="7"/>
        <v>184.45999999999998</v>
      </c>
      <c r="J32" s="15">
        <f t="shared" si="7"/>
        <v>0</v>
      </c>
      <c r="K32" s="15" t="e">
        <f>#REF!+ht!J32</f>
        <v>#REF!</v>
      </c>
      <c r="L32" s="15">
        <f t="shared" si="7"/>
        <v>0</v>
      </c>
      <c r="M32" s="15" t="e">
        <f>#REF!+ht!L32</f>
        <v>#REF!</v>
      </c>
      <c r="N32" s="15" t="e">
        <f>#REF!+ht!J32-ht!M32</f>
        <v>#REF!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15" t="e">
        <f>#REF!+ht!Q32</f>
        <v>#REF!</v>
      </c>
      <c r="S32" s="15">
        <f t="shared" si="7"/>
        <v>0</v>
      </c>
      <c r="T32" s="15" t="e">
        <f>#REF!+ht!S32</f>
        <v>#REF!</v>
      </c>
      <c r="U32" s="15" t="e">
        <f>#REF!+ht!Q32-ht!S32</f>
        <v>#REF!</v>
      </c>
      <c r="V32" s="15" t="e">
        <f t="shared" si="7"/>
        <v>#REF!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0</v>
      </c>
      <c r="E33" s="8" t="e">
        <f>#REF!+ht!D33</f>
        <v>#REF!</v>
      </c>
      <c r="F33" s="8">
        <v>0</v>
      </c>
      <c r="G33" s="8" t="e">
        <f>#REF!+ht!F33</f>
        <v>#REF!</v>
      </c>
      <c r="H33" s="8" t="e">
        <f>#REF!+ht!D33-ht!F33</f>
        <v>#REF!</v>
      </c>
      <c r="I33" s="8">
        <v>3.8</v>
      </c>
      <c r="J33" s="8">
        <v>0</v>
      </c>
      <c r="K33" s="8" t="e">
        <f>#REF!+ht!J33</f>
        <v>#REF!</v>
      </c>
      <c r="L33" s="8">
        <v>0</v>
      </c>
      <c r="M33" s="8" t="e">
        <f>#REF!+ht!L33</f>
        <v>#REF!</v>
      </c>
      <c r="N33" s="8" t="e">
        <f>#REF!+ht!J33-ht!M33</f>
        <v>#REF!</v>
      </c>
      <c r="O33" s="9">
        <f>D33+J33</f>
        <v>0</v>
      </c>
      <c r="P33" s="10">
        <v>0</v>
      </c>
      <c r="Q33" s="10">
        <v>0</v>
      </c>
      <c r="R33" s="8" t="e">
        <f>#REF!+ht!Q33</f>
        <v>#REF!</v>
      </c>
      <c r="S33" s="10">
        <v>0</v>
      </c>
      <c r="T33" s="8" t="e">
        <f>#REF!+ht!S33</f>
        <v>#REF!</v>
      </c>
      <c r="U33" s="8" t="e">
        <f>#REF!+ht!Q33-ht!S33</f>
        <v>#REF!</v>
      </c>
      <c r="V33" s="8" t="e">
        <f t="shared" si="0"/>
        <v>#REF!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0</v>
      </c>
      <c r="E34" s="8" t="e">
        <f>#REF!+ht!D34</f>
        <v>#REF!</v>
      </c>
      <c r="F34" s="8">
        <v>0</v>
      </c>
      <c r="G34" s="8" t="e">
        <f>#REF!+ht!F34</f>
        <v>#REF!</v>
      </c>
      <c r="H34" s="8" t="e">
        <f>#REF!+ht!D34-ht!F34</f>
        <v>#REF!</v>
      </c>
      <c r="I34" s="8">
        <v>2</v>
      </c>
      <c r="J34" s="8">
        <v>0</v>
      </c>
      <c r="K34" s="8" t="e">
        <f>#REF!+ht!J34</f>
        <v>#REF!</v>
      </c>
      <c r="L34" s="8">
        <v>0</v>
      </c>
      <c r="M34" s="8" t="e">
        <f>#REF!+ht!L34</f>
        <v>#REF!</v>
      </c>
      <c r="N34" s="8" t="e">
        <f>#REF!+ht!J34-ht!M34</f>
        <v>#REF!</v>
      </c>
      <c r="O34" s="9">
        <f>D34+J34</f>
        <v>0</v>
      </c>
      <c r="P34" s="10">
        <v>0</v>
      </c>
      <c r="Q34" s="10">
        <v>0</v>
      </c>
      <c r="R34" s="8" t="e">
        <f>#REF!+ht!Q34</f>
        <v>#REF!</v>
      </c>
      <c r="S34" s="10">
        <v>0</v>
      </c>
      <c r="T34" s="8" t="e">
        <f>#REF!+ht!S34</f>
        <v>#REF!</v>
      </c>
      <c r="U34" s="8" t="e">
        <f>#REF!+ht!Q34-ht!S34</f>
        <v>#REF!</v>
      </c>
      <c r="V34" s="8" t="e">
        <f t="shared" si="0"/>
        <v>#REF!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0</v>
      </c>
      <c r="E35" s="8" t="e">
        <f>#REF!+ht!D35</f>
        <v>#REF!</v>
      </c>
      <c r="F35" s="8">
        <v>0</v>
      </c>
      <c r="G35" s="8" t="e">
        <f>#REF!+ht!F35</f>
        <v>#REF!</v>
      </c>
      <c r="H35" s="8" t="e">
        <f>#REF!+ht!D35-ht!F35</f>
        <v>#REF!</v>
      </c>
      <c r="I35" s="8">
        <v>7.3</v>
      </c>
      <c r="J35" s="8">
        <v>0</v>
      </c>
      <c r="K35" s="8" t="e">
        <f>#REF!+ht!J35</f>
        <v>#REF!</v>
      </c>
      <c r="L35" s="8">
        <v>0</v>
      </c>
      <c r="M35" s="8" t="e">
        <f>#REF!+ht!L35</f>
        <v>#REF!</v>
      </c>
      <c r="N35" s="8" t="e">
        <f>#REF!+ht!J35-ht!M35</f>
        <v>#REF!</v>
      </c>
      <c r="O35" s="9">
        <f>D35+J35</f>
        <v>0</v>
      </c>
      <c r="P35" s="10">
        <v>0</v>
      </c>
      <c r="Q35" s="10">
        <v>0</v>
      </c>
      <c r="R35" s="8" t="e">
        <f>#REF!+ht!Q35</f>
        <v>#REF!</v>
      </c>
      <c r="S35" s="10">
        <v>0</v>
      </c>
      <c r="T35" s="8" t="e">
        <f>#REF!+ht!S35</f>
        <v>#REF!</v>
      </c>
      <c r="U35" s="8" t="e">
        <f>#REF!+ht!Q35-ht!S35</f>
        <v>#REF!</v>
      </c>
      <c r="V35" s="8" t="e">
        <f t="shared" si="0"/>
        <v>#REF!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0</v>
      </c>
      <c r="E36" s="8" t="e">
        <f>#REF!+ht!D36</f>
        <v>#REF!</v>
      </c>
      <c r="F36" s="8">
        <v>0</v>
      </c>
      <c r="G36" s="8" t="e">
        <f>#REF!+ht!F36</f>
        <v>#REF!</v>
      </c>
      <c r="H36" s="8" t="e">
        <f>#REF!+ht!D36-ht!F36</f>
        <v>#REF!</v>
      </c>
      <c r="I36" s="8">
        <v>3.46</v>
      </c>
      <c r="J36" s="8">
        <v>0</v>
      </c>
      <c r="K36" s="8" t="e">
        <f>#REF!+ht!J36</f>
        <v>#REF!</v>
      </c>
      <c r="L36" s="8">
        <v>0</v>
      </c>
      <c r="M36" s="8" t="e">
        <f>#REF!+ht!L36</f>
        <v>#REF!</v>
      </c>
      <c r="N36" s="8" t="e">
        <f>#REF!+ht!J36-ht!M36</f>
        <v>#REF!</v>
      </c>
      <c r="O36" s="9">
        <f>D36+J36</f>
        <v>0</v>
      </c>
      <c r="P36" s="10">
        <v>0</v>
      </c>
      <c r="Q36" s="10">
        <v>0</v>
      </c>
      <c r="R36" s="8" t="e">
        <f>#REF!+ht!Q36</f>
        <v>#REF!</v>
      </c>
      <c r="S36" s="10">
        <v>0</v>
      </c>
      <c r="T36" s="8" t="e">
        <f>#REF!+ht!S36</f>
        <v>#REF!</v>
      </c>
      <c r="U36" s="8" t="e">
        <f>#REF!+ht!Q36-ht!S36</f>
        <v>#REF!</v>
      </c>
      <c r="V36" s="8" t="e">
        <f t="shared" si="0"/>
        <v>#REF!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0</v>
      </c>
      <c r="E37" s="15" t="e">
        <f>#REF!+ht!D37</f>
        <v>#REF!</v>
      </c>
      <c r="F37" s="15">
        <f t="shared" ref="F37:V37" si="8">SUM(F33:F36)</f>
        <v>0</v>
      </c>
      <c r="G37" s="15" t="e">
        <f>#REF!+ht!F37</f>
        <v>#REF!</v>
      </c>
      <c r="H37" s="15" t="e">
        <f>#REF!+ht!D37-ht!F37</f>
        <v>#REF!</v>
      </c>
      <c r="I37" s="15">
        <f t="shared" si="8"/>
        <v>16.559999999999999</v>
      </c>
      <c r="J37" s="15">
        <f t="shared" si="8"/>
        <v>0</v>
      </c>
      <c r="K37" s="15" t="e">
        <f>#REF!+ht!J37</f>
        <v>#REF!</v>
      </c>
      <c r="L37" s="15">
        <f t="shared" si="8"/>
        <v>0</v>
      </c>
      <c r="M37" s="15" t="e">
        <f>#REF!+ht!L37</f>
        <v>#REF!</v>
      </c>
      <c r="N37" s="15" t="e">
        <f>#REF!+ht!J37-ht!M37</f>
        <v>#REF!</v>
      </c>
      <c r="O37" s="15">
        <f t="shared" si="8"/>
        <v>0</v>
      </c>
      <c r="P37" s="15">
        <f t="shared" si="8"/>
        <v>0</v>
      </c>
      <c r="Q37" s="15">
        <f t="shared" si="8"/>
        <v>0</v>
      </c>
      <c r="R37" s="15" t="e">
        <f>#REF!+ht!Q37</f>
        <v>#REF!</v>
      </c>
      <c r="S37" s="15">
        <f t="shared" si="8"/>
        <v>0</v>
      </c>
      <c r="T37" s="15" t="e">
        <f>#REF!+ht!S37</f>
        <v>#REF!</v>
      </c>
      <c r="U37" s="15" t="e">
        <f>#REF!+ht!Q37-ht!S37</f>
        <v>#REF!</v>
      </c>
      <c r="V37" s="15" t="e">
        <f t="shared" si="8"/>
        <v>#REF!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0</v>
      </c>
      <c r="E38" s="15" t="e">
        <f>#REF!+ht!D38</f>
        <v>#REF!</v>
      </c>
      <c r="F38" s="15">
        <f t="shared" ref="F38:V38" si="9">F37+F32+F27</f>
        <v>0</v>
      </c>
      <c r="G38" s="15" t="e">
        <f>#REF!+ht!F38</f>
        <v>#REF!</v>
      </c>
      <c r="H38" s="15" t="e">
        <f>#REF!+ht!D38-ht!F38</f>
        <v>#REF!</v>
      </c>
      <c r="I38" s="15">
        <f t="shared" si="9"/>
        <v>290.77</v>
      </c>
      <c r="J38" s="15">
        <f t="shared" si="9"/>
        <v>0</v>
      </c>
      <c r="K38" s="15" t="e">
        <f>#REF!+ht!J38</f>
        <v>#REF!</v>
      </c>
      <c r="L38" s="15">
        <f t="shared" si="9"/>
        <v>0</v>
      </c>
      <c r="M38" s="15" t="e">
        <f>#REF!+ht!L38</f>
        <v>#REF!</v>
      </c>
      <c r="N38" s="15" t="e">
        <f>#REF!+ht!J38-ht!M38</f>
        <v>#REF!</v>
      </c>
      <c r="O38" s="15">
        <f t="shared" si="9"/>
        <v>0</v>
      </c>
      <c r="P38" s="15">
        <f t="shared" si="9"/>
        <v>0</v>
      </c>
      <c r="Q38" s="15">
        <f t="shared" si="9"/>
        <v>0</v>
      </c>
      <c r="R38" s="15" t="e">
        <f>#REF!+ht!Q38</f>
        <v>#REF!</v>
      </c>
      <c r="S38" s="15">
        <f t="shared" si="9"/>
        <v>0</v>
      </c>
      <c r="T38" s="15" t="e">
        <f>#REF!+ht!S38</f>
        <v>#REF!</v>
      </c>
      <c r="U38" s="15" t="e">
        <f>#REF!+ht!Q38-ht!S38</f>
        <v>#REF!</v>
      </c>
      <c r="V38" s="15" t="e">
        <f t="shared" si="9"/>
        <v>#REF!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0</v>
      </c>
      <c r="E39" s="8" t="e">
        <f>#REF!+ht!D39</f>
        <v>#REF!</v>
      </c>
      <c r="F39" s="8">
        <v>0</v>
      </c>
      <c r="G39" s="8" t="e">
        <f>#REF!+ht!F39</f>
        <v>#REF!</v>
      </c>
      <c r="H39" s="8" t="e">
        <f>#REF!+ht!D39-ht!F39</f>
        <v>#REF!</v>
      </c>
      <c r="I39" s="8">
        <v>0</v>
      </c>
      <c r="J39" s="8">
        <v>0</v>
      </c>
      <c r="K39" s="8" t="e">
        <f>#REF!+ht!J39</f>
        <v>#REF!</v>
      </c>
      <c r="L39" s="8">
        <v>0</v>
      </c>
      <c r="M39" s="8" t="e">
        <f>#REF!+ht!L39</f>
        <v>#REF!</v>
      </c>
      <c r="N39" s="8" t="e">
        <f>#REF!+ht!J39-ht!M39</f>
        <v>#REF!</v>
      </c>
      <c r="O39" s="9">
        <f>D39+J39</f>
        <v>0</v>
      </c>
      <c r="P39" s="10">
        <v>0</v>
      </c>
      <c r="Q39" s="8">
        <v>0</v>
      </c>
      <c r="R39" s="8" t="e">
        <f>#REF!+ht!Q39</f>
        <v>#REF!</v>
      </c>
      <c r="S39" s="10">
        <v>0</v>
      </c>
      <c r="T39" s="8" t="e">
        <f>#REF!+ht!S39</f>
        <v>#REF!</v>
      </c>
      <c r="U39" s="8" t="e">
        <f>#REF!+ht!Q39-ht!S39</f>
        <v>#REF!</v>
      </c>
      <c r="V39" s="8" t="e">
        <f t="shared" si="0"/>
        <v>#REF!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0</v>
      </c>
      <c r="E40" s="8" t="e">
        <f>#REF!+ht!D40</f>
        <v>#REF!</v>
      </c>
      <c r="F40" s="8">
        <v>0</v>
      </c>
      <c r="G40" s="8" t="e">
        <f>#REF!+ht!F40</f>
        <v>#REF!</v>
      </c>
      <c r="H40" s="8" t="e">
        <f>#REF!+ht!D40-ht!F40</f>
        <v>#REF!</v>
      </c>
      <c r="I40" s="8">
        <v>0</v>
      </c>
      <c r="J40" s="8">
        <v>0</v>
      </c>
      <c r="K40" s="8" t="e">
        <f>#REF!+ht!J40</f>
        <v>#REF!</v>
      </c>
      <c r="L40" s="8">
        <v>0</v>
      </c>
      <c r="M40" s="8" t="e">
        <f>#REF!+ht!L40</f>
        <v>#REF!</v>
      </c>
      <c r="N40" s="8" t="e">
        <f>#REF!+ht!J40-ht!M40</f>
        <v>#REF!</v>
      </c>
      <c r="O40" s="9">
        <f>D40+J40</f>
        <v>0</v>
      </c>
      <c r="P40" s="10">
        <v>0</v>
      </c>
      <c r="Q40" s="8">
        <v>0</v>
      </c>
      <c r="R40" s="8" t="e">
        <f>#REF!+ht!Q40</f>
        <v>#REF!</v>
      </c>
      <c r="S40" s="10">
        <v>0</v>
      </c>
      <c r="T40" s="8" t="e">
        <f>#REF!+ht!S40</f>
        <v>#REF!</v>
      </c>
      <c r="U40" s="8" t="e">
        <f>#REF!+ht!Q40-ht!S40</f>
        <v>#REF!</v>
      </c>
      <c r="V40" s="8" t="e">
        <f t="shared" si="0"/>
        <v>#REF!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0</v>
      </c>
      <c r="E41" s="8" t="e">
        <f>#REF!+ht!D41</f>
        <v>#REF!</v>
      </c>
      <c r="F41" s="8">
        <v>0</v>
      </c>
      <c r="G41" s="8" t="e">
        <f>#REF!+ht!F41</f>
        <v>#REF!</v>
      </c>
      <c r="H41" s="8" t="e">
        <f>#REF!+ht!D41-ht!F41</f>
        <v>#REF!</v>
      </c>
      <c r="I41" s="8">
        <v>0</v>
      </c>
      <c r="J41" s="8">
        <v>0</v>
      </c>
      <c r="K41" s="8" t="e">
        <f>#REF!+ht!J41</f>
        <v>#REF!</v>
      </c>
      <c r="L41" s="8">
        <v>0</v>
      </c>
      <c r="M41" s="8" t="e">
        <f>#REF!+ht!L41</f>
        <v>#REF!</v>
      </c>
      <c r="N41" s="8" t="e">
        <f>#REF!+ht!J41-ht!M41</f>
        <v>#REF!</v>
      </c>
      <c r="O41" s="9">
        <f>D41+J41</f>
        <v>0</v>
      </c>
      <c r="P41" s="10">
        <v>0</v>
      </c>
      <c r="Q41" s="8">
        <v>0</v>
      </c>
      <c r="R41" s="8" t="e">
        <f>#REF!+ht!Q41</f>
        <v>#REF!</v>
      </c>
      <c r="S41" s="10">
        <v>0</v>
      </c>
      <c r="T41" s="8" t="e">
        <f>#REF!+ht!S41</f>
        <v>#REF!</v>
      </c>
      <c r="U41" s="8" t="e">
        <f>#REF!+ht!Q41-ht!S41</f>
        <v>#REF!</v>
      </c>
      <c r="V41" s="8" t="e">
        <f t="shared" si="0"/>
        <v>#REF!</v>
      </c>
    </row>
    <row r="42" spans="1:23" s="11" customFormat="1" ht="19.5" customHeight="1" x14ac:dyDescent="0.3">
      <c r="A42" s="5">
        <v>27</v>
      </c>
      <c r="B42" s="6" t="s">
        <v>63</v>
      </c>
      <c r="C42" s="7"/>
      <c r="D42" s="8">
        <v>0</v>
      </c>
      <c r="E42" s="8" t="e">
        <f>#REF!+ht!D42</f>
        <v>#REF!</v>
      </c>
      <c r="F42" s="8">
        <v>0</v>
      </c>
      <c r="G42" s="8" t="e">
        <f>#REF!+ht!F42</f>
        <v>#REF!</v>
      </c>
      <c r="H42" s="8" t="e">
        <f>#REF!+ht!D42-ht!F42</f>
        <v>#REF!</v>
      </c>
      <c r="I42" s="8"/>
      <c r="J42" s="8">
        <v>0</v>
      </c>
      <c r="K42" s="8" t="e">
        <f>#REF!+ht!J42</f>
        <v>#REF!</v>
      </c>
      <c r="L42" s="8">
        <v>0</v>
      </c>
      <c r="M42" s="8" t="e">
        <f>#REF!+ht!L42</f>
        <v>#REF!</v>
      </c>
      <c r="N42" s="8" t="e">
        <f>#REF!+ht!J42-ht!M42</f>
        <v>#REF!</v>
      </c>
      <c r="O42" s="9"/>
      <c r="P42" s="10"/>
      <c r="Q42" s="8">
        <v>0</v>
      </c>
      <c r="R42" s="8" t="e">
        <f>#REF!+ht!Q42</f>
        <v>#REF!</v>
      </c>
      <c r="S42" s="10">
        <v>0</v>
      </c>
      <c r="T42" s="8" t="e">
        <f>#REF!+ht!S42</f>
        <v>#REF!</v>
      </c>
      <c r="U42" s="8" t="e">
        <f>#REF!+ht!Q42-ht!S42</f>
        <v>#REF!</v>
      </c>
      <c r="V42" s="8" t="e">
        <f t="shared" si="0"/>
        <v>#REF!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0</v>
      </c>
      <c r="E43" s="15" t="e">
        <f>#REF!+ht!D43</f>
        <v>#REF!</v>
      </c>
      <c r="F43" s="15">
        <f t="shared" ref="F43:V43" si="10">SUM(F39:F42)</f>
        <v>0</v>
      </c>
      <c r="G43" s="15" t="e">
        <f>#REF!+ht!F43</f>
        <v>#REF!</v>
      </c>
      <c r="H43" s="15" t="e">
        <f>#REF!+ht!D43-ht!F43</f>
        <v>#REF!</v>
      </c>
      <c r="I43" s="15">
        <f t="shared" si="10"/>
        <v>0</v>
      </c>
      <c r="J43" s="15">
        <f t="shared" si="10"/>
        <v>0</v>
      </c>
      <c r="K43" s="15" t="e">
        <f>#REF!+ht!J43</f>
        <v>#REF!</v>
      </c>
      <c r="L43" s="15">
        <f t="shared" si="10"/>
        <v>0</v>
      </c>
      <c r="M43" s="15" t="e">
        <f>#REF!+ht!L43</f>
        <v>#REF!</v>
      </c>
      <c r="N43" s="15" t="e">
        <f>#REF!+ht!J43-ht!M43</f>
        <v>#REF!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15" t="e">
        <f>#REF!+ht!Q43</f>
        <v>#REF!</v>
      </c>
      <c r="S43" s="15">
        <f t="shared" si="10"/>
        <v>0</v>
      </c>
      <c r="T43" s="15" t="e">
        <f>#REF!+ht!S43</f>
        <v>#REF!</v>
      </c>
      <c r="U43" s="15" t="e">
        <f>#REF!+ht!Q43-ht!S43</f>
        <v>#REF!</v>
      </c>
      <c r="V43" s="15" t="e">
        <f t="shared" si="10"/>
        <v>#REF!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0</v>
      </c>
      <c r="E44" s="8" t="e">
        <f>#REF!+ht!D44</f>
        <v>#REF!</v>
      </c>
      <c r="F44" s="8">
        <v>0</v>
      </c>
      <c r="G44" s="8" t="e">
        <f>#REF!+ht!F44</f>
        <v>#REF!</v>
      </c>
      <c r="H44" s="8" t="e">
        <f>#REF!+ht!D44-ht!F44</f>
        <v>#REF!</v>
      </c>
      <c r="I44" s="8">
        <v>0.68</v>
      </c>
      <c r="J44" s="8">
        <v>0</v>
      </c>
      <c r="K44" s="8" t="e">
        <f>#REF!+ht!J44</f>
        <v>#REF!</v>
      </c>
      <c r="L44" s="8">
        <v>0</v>
      </c>
      <c r="M44" s="8" t="e">
        <f>#REF!+ht!L44</f>
        <v>#REF!</v>
      </c>
      <c r="N44" s="8" t="e">
        <f>#REF!+ht!J44-ht!M44</f>
        <v>#REF!</v>
      </c>
      <c r="O44" s="9">
        <f>D44+J44</f>
        <v>0</v>
      </c>
      <c r="P44" s="10">
        <v>14.43</v>
      </c>
      <c r="Q44" s="10">
        <v>0</v>
      </c>
      <c r="R44" s="8" t="e">
        <f>#REF!+ht!Q44</f>
        <v>#REF!</v>
      </c>
      <c r="S44" s="10">
        <v>0</v>
      </c>
      <c r="T44" s="8" t="e">
        <f>#REF!+ht!S44</f>
        <v>#REF!</v>
      </c>
      <c r="U44" s="8" t="e">
        <f>#REF!+ht!Q44-ht!S44</f>
        <v>#REF!</v>
      </c>
      <c r="V44" s="8" t="e">
        <f t="shared" si="0"/>
        <v>#REF!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0</v>
      </c>
      <c r="E45" s="8" t="e">
        <f>#REF!+ht!D45</f>
        <v>#REF!</v>
      </c>
      <c r="F45" s="8">
        <v>0</v>
      </c>
      <c r="G45" s="8" t="e">
        <f>#REF!+ht!F45</f>
        <v>#REF!</v>
      </c>
      <c r="H45" s="8" t="e">
        <f>#REF!+ht!D45-ht!F45</f>
        <v>#REF!</v>
      </c>
      <c r="I45" s="8">
        <v>0.96</v>
      </c>
      <c r="J45" s="8">
        <v>0</v>
      </c>
      <c r="K45" s="8" t="e">
        <f>#REF!+ht!J45</f>
        <v>#REF!</v>
      </c>
      <c r="L45" s="8">
        <v>0</v>
      </c>
      <c r="M45" s="8" t="e">
        <f>#REF!+ht!L45</f>
        <v>#REF!</v>
      </c>
      <c r="N45" s="8" t="e">
        <f>#REF!+ht!J45-ht!M45</f>
        <v>#REF!</v>
      </c>
      <c r="O45" s="9">
        <f>D45+J45</f>
        <v>0</v>
      </c>
      <c r="P45" s="10">
        <v>0</v>
      </c>
      <c r="Q45" s="10">
        <v>0</v>
      </c>
      <c r="R45" s="8" t="e">
        <f>#REF!+ht!Q45</f>
        <v>#REF!</v>
      </c>
      <c r="S45" s="10">
        <v>0</v>
      </c>
      <c r="T45" s="8" t="e">
        <f>#REF!+ht!S45</f>
        <v>#REF!</v>
      </c>
      <c r="U45" s="8" t="e">
        <f>#REF!+ht!Q45-ht!S45</f>
        <v>#REF!</v>
      </c>
      <c r="V45" s="8" t="e">
        <f t="shared" si="0"/>
        <v>#REF!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0</v>
      </c>
      <c r="E46" s="8" t="e">
        <f>#REF!+ht!D46</f>
        <v>#REF!</v>
      </c>
      <c r="F46" s="8">
        <v>0</v>
      </c>
      <c r="G46" s="8" t="e">
        <f>#REF!+ht!F46</f>
        <v>#REF!</v>
      </c>
      <c r="H46" s="8" t="e">
        <f>#REF!+ht!D46-ht!F46</f>
        <v>#REF!</v>
      </c>
      <c r="I46" s="8">
        <v>6.89</v>
      </c>
      <c r="J46" s="8">
        <v>0</v>
      </c>
      <c r="K46" s="8" t="e">
        <f>#REF!+ht!J46</f>
        <v>#REF!</v>
      </c>
      <c r="L46" s="8">
        <v>0</v>
      </c>
      <c r="M46" s="8" t="e">
        <f>#REF!+ht!L46</f>
        <v>#REF!</v>
      </c>
      <c r="N46" s="8" t="e">
        <f>#REF!+ht!J46-ht!M46</f>
        <v>#REF!</v>
      </c>
      <c r="O46" s="9">
        <f>D46+J46</f>
        <v>0</v>
      </c>
      <c r="P46" s="10">
        <v>0.03</v>
      </c>
      <c r="Q46" s="10">
        <v>0</v>
      </c>
      <c r="R46" s="8" t="e">
        <f>#REF!+ht!Q46</f>
        <v>#REF!</v>
      </c>
      <c r="S46" s="10">
        <v>0</v>
      </c>
      <c r="T46" s="8" t="e">
        <f>#REF!+ht!S46</f>
        <v>#REF!</v>
      </c>
      <c r="U46" s="8" t="e">
        <f>#REF!+ht!Q46-ht!S46</f>
        <v>#REF!</v>
      </c>
      <c r="V46" s="8" t="e">
        <f t="shared" si="0"/>
        <v>#REF!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0</v>
      </c>
      <c r="E47" s="8" t="e">
        <f>#REF!+ht!D47</f>
        <v>#REF!</v>
      </c>
      <c r="F47" s="8">
        <v>0</v>
      </c>
      <c r="G47" s="8" t="e">
        <f>#REF!+ht!F47</f>
        <v>#REF!</v>
      </c>
      <c r="H47" s="8" t="e">
        <f>#REF!+ht!D47-ht!F47</f>
        <v>#REF!</v>
      </c>
      <c r="I47" s="8">
        <v>0.505</v>
      </c>
      <c r="J47" s="8">
        <v>0</v>
      </c>
      <c r="K47" s="8" t="e">
        <f>#REF!+ht!J47</f>
        <v>#REF!</v>
      </c>
      <c r="L47" s="8">
        <v>0</v>
      </c>
      <c r="M47" s="8" t="e">
        <f>#REF!+ht!L47</f>
        <v>#REF!</v>
      </c>
      <c r="N47" s="8" t="e">
        <f>#REF!+ht!J47-ht!M47</f>
        <v>#REF!</v>
      </c>
      <c r="O47" s="9">
        <f>D47+J47</f>
        <v>0</v>
      </c>
      <c r="P47" s="10">
        <v>14.43</v>
      </c>
      <c r="Q47" s="10">
        <v>0</v>
      </c>
      <c r="R47" s="8" t="e">
        <f>#REF!+ht!Q47</f>
        <v>#REF!</v>
      </c>
      <c r="S47" s="10">
        <v>0</v>
      </c>
      <c r="T47" s="8" t="e">
        <f>#REF!+ht!S47</f>
        <v>#REF!</v>
      </c>
      <c r="U47" s="8" t="e">
        <f>#REF!+ht!Q47-ht!S47</f>
        <v>#REF!</v>
      </c>
      <c r="V47" s="8" t="e">
        <f t="shared" si="0"/>
        <v>#REF!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0</v>
      </c>
      <c r="E48" s="15" t="e">
        <f>#REF!+ht!D48</f>
        <v>#REF!</v>
      </c>
      <c r="F48" s="15">
        <f t="shared" ref="F48:V48" si="11">SUM(F44:F47)</f>
        <v>0</v>
      </c>
      <c r="G48" s="15" t="e">
        <f>#REF!+ht!F48</f>
        <v>#REF!</v>
      </c>
      <c r="H48" s="15" t="e">
        <f>#REF!+ht!D48-ht!F48</f>
        <v>#REF!</v>
      </c>
      <c r="I48" s="15">
        <f t="shared" si="11"/>
        <v>9.0350000000000001</v>
      </c>
      <c r="J48" s="15">
        <f t="shared" si="11"/>
        <v>0</v>
      </c>
      <c r="K48" s="15" t="e">
        <f>#REF!+ht!J48</f>
        <v>#REF!</v>
      </c>
      <c r="L48" s="15">
        <f t="shared" si="11"/>
        <v>0</v>
      </c>
      <c r="M48" s="15" t="e">
        <f>#REF!+ht!L48</f>
        <v>#REF!</v>
      </c>
      <c r="N48" s="15" t="e">
        <f>#REF!+ht!J48-ht!M48</f>
        <v>#REF!</v>
      </c>
      <c r="O48" s="15">
        <f t="shared" si="11"/>
        <v>0</v>
      </c>
      <c r="P48" s="15">
        <f t="shared" si="11"/>
        <v>28.89</v>
      </c>
      <c r="Q48" s="15">
        <f t="shared" si="11"/>
        <v>0</v>
      </c>
      <c r="R48" s="15" t="e">
        <f>#REF!+ht!Q48</f>
        <v>#REF!</v>
      </c>
      <c r="S48" s="15">
        <f t="shared" si="11"/>
        <v>0</v>
      </c>
      <c r="T48" s="15" t="e">
        <f>#REF!+ht!S48</f>
        <v>#REF!</v>
      </c>
      <c r="U48" s="15" t="e">
        <f>#REF!+ht!Q48-ht!S48</f>
        <v>#REF!</v>
      </c>
      <c r="V48" s="15" t="e">
        <f t="shared" si="11"/>
        <v>#REF!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0</v>
      </c>
      <c r="E49" s="15" t="e">
        <f>#REF!+ht!D49</f>
        <v>#REF!</v>
      </c>
      <c r="F49" s="15">
        <f t="shared" ref="F49:V49" si="12">F43+F48</f>
        <v>0</v>
      </c>
      <c r="G49" s="15" t="e">
        <f>#REF!+ht!F49</f>
        <v>#REF!</v>
      </c>
      <c r="H49" s="15" t="e">
        <f>#REF!+ht!D49-ht!F49</f>
        <v>#REF!</v>
      </c>
      <c r="I49" s="15">
        <f t="shared" si="12"/>
        <v>9.0350000000000001</v>
      </c>
      <c r="J49" s="15">
        <f t="shared" si="12"/>
        <v>0</v>
      </c>
      <c r="K49" s="15" t="e">
        <f>#REF!+ht!J49</f>
        <v>#REF!</v>
      </c>
      <c r="L49" s="15">
        <f t="shared" si="12"/>
        <v>0</v>
      </c>
      <c r="M49" s="15" t="e">
        <f>#REF!+ht!L49</f>
        <v>#REF!</v>
      </c>
      <c r="N49" s="15" t="e">
        <f>#REF!+ht!J49-ht!M49</f>
        <v>#REF!</v>
      </c>
      <c r="O49" s="15">
        <f t="shared" si="12"/>
        <v>0</v>
      </c>
      <c r="P49" s="15">
        <f t="shared" si="12"/>
        <v>28.89</v>
      </c>
      <c r="Q49" s="15">
        <f t="shared" si="12"/>
        <v>0</v>
      </c>
      <c r="R49" s="15" t="e">
        <f>#REF!+ht!Q49</f>
        <v>#REF!</v>
      </c>
      <c r="S49" s="15">
        <f t="shared" si="12"/>
        <v>0</v>
      </c>
      <c r="T49" s="15" t="e">
        <f>#REF!+ht!S49</f>
        <v>#REF!</v>
      </c>
      <c r="U49" s="15" t="e">
        <f>#REF!+ht!Q49-ht!S49</f>
        <v>#REF!</v>
      </c>
      <c r="V49" s="15" t="e">
        <f t="shared" si="12"/>
        <v>#REF!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0</v>
      </c>
      <c r="E50" s="15" t="e">
        <f>#REF!+ht!D50</f>
        <v>#REF!</v>
      </c>
      <c r="F50" s="15">
        <f t="shared" ref="F50:V50" si="13">F49+F38+F24</f>
        <v>0</v>
      </c>
      <c r="G50" s="15" t="e">
        <f>#REF!+ht!F50</f>
        <v>#REF!</v>
      </c>
      <c r="H50" s="15" t="e">
        <f>#REF!+ht!D50-ht!F50</f>
        <v>#REF!</v>
      </c>
      <c r="I50" s="15">
        <f t="shared" si="13"/>
        <v>3747.752</v>
      </c>
      <c r="J50" s="15">
        <f t="shared" si="13"/>
        <v>0</v>
      </c>
      <c r="K50" s="15" t="e">
        <f>#REF!+ht!J50</f>
        <v>#REF!</v>
      </c>
      <c r="L50" s="15">
        <f t="shared" si="13"/>
        <v>0</v>
      </c>
      <c r="M50" s="15" t="e">
        <f>#REF!+ht!L50</f>
        <v>#REF!</v>
      </c>
      <c r="N50" s="15" t="e">
        <f>#REF!+ht!J50-ht!M50</f>
        <v>#REF!</v>
      </c>
      <c r="O50" s="15">
        <f t="shared" si="13"/>
        <v>0</v>
      </c>
      <c r="P50" s="15">
        <f t="shared" si="13"/>
        <v>170.09799999999996</v>
      </c>
      <c r="Q50" s="15">
        <f t="shared" si="13"/>
        <v>0</v>
      </c>
      <c r="R50" s="15" t="e">
        <f>#REF!+ht!Q50</f>
        <v>#REF!</v>
      </c>
      <c r="S50" s="15">
        <f t="shared" si="13"/>
        <v>0</v>
      </c>
      <c r="T50" s="15" t="e">
        <f>#REF!+ht!S50</f>
        <v>#REF!</v>
      </c>
      <c r="U50" s="15" t="e">
        <f>#REF!+ht!Q50-ht!S50</f>
        <v>#REF!</v>
      </c>
      <c r="V50" s="15" t="e">
        <f t="shared" si="13"/>
        <v>#REF!</v>
      </c>
      <c r="W50" s="17"/>
    </row>
    <row r="51" spans="1:23" s="27" customFormat="1" ht="24" hidden="1" customHeight="1" x14ac:dyDescent="0.25">
      <c r="C51" s="28"/>
      <c r="D51" s="60"/>
      <c r="E51" s="8" t="e">
        <f>#REF!+ht!D51</f>
        <v>#REF!</v>
      </c>
      <c r="F51" s="60"/>
      <c r="G51" s="8" t="e">
        <f>#REF!+ht!F51</f>
        <v>#REF!</v>
      </c>
      <c r="H51" s="8" t="e">
        <f>'[3]nov 18'!H51+#REF!-#REF!</f>
        <v>#REF!</v>
      </c>
      <c r="I51" s="60"/>
      <c r="J51" s="60"/>
      <c r="K51" s="8" t="e">
        <f>'[3]nov 18'!K51+#REF!</f>
        <v>#REF!</v>
      </c>
      <c r="L51" s="60"/>
      <c r="M51" s="8" t="e">
        <f>#REF!+ht!L51</f>
        <v>#REF!</v>
      </c>
      <c r="N51" s="8">
        <f>'[3]july 18'!N51+'[3]aug 18'!J51-'[3]aug 18'!L51</f>
        <v>4962.2130000000006</v>
      </c>
      <c r="O51" s="60"/>
      <c r="P51" s="60"/>
      <c r="Q51" s="60"/>
      <c r="R51" s="8" t="e">
        <f>#REF!+ht!Q51</f>
        <v>#REF!</v>
      </c>
      <c r="S51" s="60"/>
      <c r="T51" s="8" t="e">
        <f>#REF!+ht!S51</f>
        <v>#REF!</v>
      </c>
      <c r="U51" s="8" t="e">
        <f>#REF!+ht!Q51-ht!S51</f>
        <v>#REF!</v>
      </c>
      <c r="V51" s="8" t="e">
        <f t="shared" si="0"/>
        <v>#REF!</v>
      </c>
    </row>
    <row r="52" spans="1:23" s="29" customFormat="1" ht="24" hidden="1" customHeight="1" x14ac:dyDescent="0.25">
      <c r="C52" s="30"/>
      <c r="D52" s="31"/>
      <c r="E52" s="8" t="e">
        <f>#REF!+ht!D52</f>
        <v>#REF!</v>
      </c>
      <c r="F52" s="31"/>
      <c r="G52" s="8" t="e">
        <f>#REF!+ht!F52</f>
        <v>#REF!</v>
      </c>
      <c r="H52" s="8" t="e">
        <f>'[3]nov 18'!H52+#REF!-#REF!</f>
        <v>#REF!</v>
      </c>
      <c r="I52" s="31"/>
      <c r="J52" s="31"/>
      <c r="K52" s="8" t="e">
        <f>'[3]nov 18'!K52+#REF!</f>
        <v>#REF!</v>
      </c>
      <c r="L52" s="31"/>
      <c r="M52" s="8" t="e">
        <f>#REF!+ht!L52</f>
        <v>#REF!</v>
      </c>
      <c r="N52" s="8">
        <f>'[3]july 18'!N52+'[3]aug 18'!J52-'[3]aug 18'!L52</f>
        <v>0</v>
      </c>
      <c r="O52" s="31"/>
      <c r="P52" s="31"/>
      <c r="Q52" s="31"/>
      <c r="R52" s="8" t="e">
        <f>#REF!+ht!Q52</f>
        <v>#REF!</v>
      </c>
      <c r="S52" s="31"/>
      <c r="T52" s="8" t="e">
        <f>#REF!+ht!S52</f>
        <v>#REF!</v>
      </c>
      <c r="U52" s="8" t="e">
        <f>#REF!+ht!Q52-ht!S52</f>
        <v>#REF!</v>
      </c>
      <c r="V52" s="8" t="e">
        <f t="shared" si="0"/>
        <v>#REF!</v>
      </c>
    </row>
    <row r="53" spans="1:23" s="29" customFormat="1" ht="24" customHeight="1" x14ac:dyDescent="0.25">
      <c r="C53" s="30"/>
      <c r="D53" s="31"/>
      <c r="E53" s="52">
        <f>'[3]APRIL 18'!E48+'[3]may 18'!D49</f>
        <v>1157.347</v>
      </c>
      <c r="F53" s="31"/>
      <c r="G53" s="52"/>
      <c r="H53" s="52">
        <f>'[3]Mar 18'!H47+'[3]APRIL 18'!E48</f>
        <v>95318.428299999985</v>
      </c>
      <c r="I53" s="31"/>
      <c r="J53" s="31"/>
      <c r="K53" s="52">
        <f>'[3]APRIL 18'!K48+'[3]may 18'!J49</f>
        <v>30.321999999999999</v>
      </c>
      <c r="L53" s="31"/>
      <c r="M53" s="52"/>
      <c r="N53" s="52"/>
      <c r="O53" s="31"/>
      <c r="P53" s="31"/>
      <c r="Q53" s="31"/>
      <c r="R53" s="52">
        <f>'[3]APRIL 18'!R48+'[3]may 18'!Q49</f>
        <v>7.02</v>
      </c>
      <c r="S53" s="31"/>
      <c r="T53" s="52"/>
      <c r="U53" s="52"/>
      <c r="V53" s="52"/>
    </row>
    <row r="54" spans="1:23" s="27" customFormat="1" ht="15.75" customHeight="1" x14ac:dyDescent="0.25">
      <c r="B54" s="28"/>
      <c r="C54" s="345" t="s">
        <v>54</v>
      </c>
      <c r="D54" s="345"/>
      <c r="E54" s="345"/>
      <c r="F54" s="345"/>
      <c r="G54" s="345"/>
      <c r="H54" s="32"/>
      <c r="I54" s="28"/>
      <c r="J54" s="60">
        <f>D50+J50+Q50-F50-L50-S50</f>
        <v>0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60"/>
      <c r="D55" s="345" t="s">
        <v>55</v>
      </c>
      <c r="E55" s="345"/>
      <c r="F55" s="345"/>
      <c r="G55" s="345"/>
      <c r="H55" s="33"/>
      <c r="I55" s="28"/>
      <c r="J55" s="60" t="e">
        <f>E50+K50+R50-G50-M50-T50</f>
        <v>#REF!</v>
      </c>
      <c r="K55" s="34"/>
      <c r="L55" s="28"/>
      <c r="M55" s="34"/>
      <c r="N55" s="28"/>
      <c r="S55" s="28"/>
      <c r="U55" s="28"/>
    </row>
    <row r="56" spans="1:23" ht="20.25" customHeight="1" x14ac:dyDescent="0.3">
      <c r="C56" s="35"/>
      <c r="D56" s="345" t="s">
        <v>56</v>
      </c>
      <c r="E56" s="345"/>
      <c r="F56" s="345"/>
      <c r="G56" s="345"/>
      <c r="H56" s="33"/>
      <c r="I56" s="36"/>
      <c r="J56" s="60" t="e">
        <f>H50+N50+U50</f>
        <v>#REF!</v>
      </c>
      <c r="K56" s="37"/>
      <c r="L56" s="37"/>
      <c r="M56" s="37"/>
      <c r="N56" s="37"/>
      <c r="Q56" s="27"/>
      <c r="R56" s="38"/>
      <c r="V56" s="38"/>
    </row>
    <row r="57" spans="1:23" ht="18" customHeight="1" x14ac:dyDescent="0.3">
      <c r="D57" s="4"/>
      <c r="E57" s="4"/>
      <c r="F57" s="4"/>
      <c r="G57" s="4"/>
      <c r="I57" s="41"/>
      <c r="J57" s="35"/>
      <c r="K57" s="37"/>
      <c r="L57" s="37"/>
      <c r="M57" s="37"/>
      <c r="N57" s="37"/>
      <c r="R57" s="3"/>
      <c r="S57" s="3"/>
      <c r="T57" s="4"/>
      <c r="U57" s="3"/>
      <c r="V57" s="3"/>
    </row>
    <row r="58" spans="1:23" ht="27" customHeight="1" x14ac:dyDescent="0.3">
      <c r="B58" s="331" t="s">
        <v>57</v>
      </c>
      <c r="C58" s="331"/>
      <c r="D58" s="331"/>
      <c r="E58" s="331"/>
      <c r="F58" s="331"/>
      <c r="G58" s="43"/>
      <c r="H58" s="43"/>
      <c r="I58" s="44"/>
      <c r="J58" s="347">
        <f>'[3]sep 18'!J56+'[3]oct 18'!J54</f>
        <v>104765.6583</v>
      </c>
      <c r="K58" s="348"/>
      <c r="L58" s="348"/>
      <c r="M58" s="45"/>
      <c r="N58" s="56" t="e">
        <f>'[3]nov 18'!J56+#REF!</f>
        <v>#REF!</v>
      </c>
      <c r="O58" s="43"/>
      <c r="P58" s="43"/>
      <c r="Q58" s="62"/>
      <c r="R58" s="331" t="s">
        <v>58</v>
      </c>
      <c r="S58" s="331"/>
      <c r="T58" s="331"/>
      <c r="U58" s="331"/>
      <c r="V58" s="331"/>
    </row>
    <row r="59" spans="1:23" ht="23.25" customHeight="1" x14ac:dyDescent="0.3">
      <c r="B59" s="331" t="s">
        <v>59</v>
      </c>
      <c r="C59" s="331"/>
      <c r="D59" s="331"/>
      <c r="E59" s="331"/>
      <c r="F59" s="331"/>
      <c r="G59" s="43"/>
      <c r="H59" s="45"/>
      <c r="I59" s="46"/>
      <c r="J59" s="47"/>
      <c r="K59" s="61"/>
      <c r="L59" s="47"/>
      <c r="M59" s="43"/>
      <c r="N59" s="43"/>
      <c r="O59" s="43"/>
      <c r="P59" s="43"/>
      <c r="Q59" s="62"/>
      <c r="R59" s="331" t="s">
        <v>59</v>
      </c>
      <c r="S59" s="331"/>
      <c r="T59" s="331"/>
      <c r="U59" s="331"/>
      <c r="V59" s="331"/>
    </row>
    <row r="60" spans="1:23" ht="25.5" customHeight="1" x14ac:dyDescent="0.3">
      <c r="F60" s="4"/>
      <c r="G60" s="42">
        <f>'[2]oct 2017'!J53+'[2]nov 17'!J51</f>
        <v>98581.184299999994</v>
      </c>
      <c r="J60" s="47"/>
      <c r="K60" s="61"/>
      <c r="L60" s="47"/>
      <c r="N60" s="49">
        <f>'[2]sep 17'!J53+'[2]oct 2017'!J51</f>
        <v>97903.751300000004</v>
      </c>
    </row>
    <row r="61" spans="1:23" ht="24" customHeight="1" x14ac:dyDescent="0.3">
      <c r="J61" s="346" t="s">
        <v>61</v>
      </c>
      <c r="K61" s="346"/>
      <c r="L61" s="346"/>
    </row>
    <row r="62" spans="1:23" ht="19.5" x14ac:dyDescent="0.3">
      <c r="G62" s="37"/>
      <c r="J62" s="346" t="s">
        <v>62</v>
      </c>
      <c r="K62" s="346"/>
      <c r="L62" s="346"/>
    </row>
    <row r="66" spans="8:22" x14ac:dyDescent="0.3">
      <c r="H66" s="50"/>
      <c r="I66" s="51"/>
      <c r="J66" s="50"/>
    </row>
    <row r="67" spans="8:22" x14ac:dyDescent="0.3">
      <c r="H67" s="50"/>
      <c r="I67" s="51"/>
      <c r="J67" s="50"/>
    </row>
    <row r="68" spans="8:22" x14ac:dyDescent="0.3">
      <c r="H68" s="42">
        <f>'[2]nov 17'!J53+'[2]dec 17'!J51</f>
        <v>98988.2883</v>
      </c>
      <c r="I68" s="51"/>
      <c r="J68" s="50"/>
    </row>
    <row r="69" spans="8:22" x14ac:dyDescent="0.3">
      <c r="H69" s="50"/>
      <c r="I69" s="51"/>
      <c r="J69" s="50"/>
    </row>
    <row r="70" spans="8:22" x14ac:dyDescent="0.3">
      <c r="H70" s="50"/>
      <c r="I70" s="51"/>
      <c r="J70" s="50"/>
    </row>
    <row r="71" spans="8:22" x14ac:dyDescent="0.3">
      <c r="I71" s="48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48">
        <f>78.17+53.54</f>
        <v>131.71</v>
      </c>
      <c r="Q72" s="3"/>
      <c r="R72" s="3"/>
      <c r="S72" s="3"/>
      <c r="T72" s="4"/>
      <c r="U72" s="3"/>
      <c r="V72" s="3"/>
    </row>
  </sheetData>
  <mergeCells count="29">
    <mergeCell ref="J62:L62"/>
    <mergeCell ref="B58:F58"/>
    <mergeCell ref="J58:L58"/>
    <mergeCell ref="R58:V58"/>
    <mergeCell ref="B59:F59"/>
    <mergeCell ref="R59:V59"/>
    <mergeCell ref="J61:L61"/>
    <mergeCell ref="D56:G56"/>
    <mergeCell ref="I5:I6"/>
    <mergeCell ref="J5:K5"/>
    <mergeCell ref="L5:M5"/>
    <mergeCell ref="N5:N6"/>
    <mergeCell ref="C54:G54"/>
    <mergeCell ref="D55:G55"/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P37"/>
  <sheetViews>
    <sheetView topLeftCell="A7" workbookViewId="0">
      <selection activeCell="I39" sqref="I39"/>
    </sheetView>
  </sheetViews>
  <sheetFormatPr defaultRowHeight="15" x14ac:dyDescent="0.25"/>
  <cols>
    <col min="6" max="6" width="24" customWidth="1"/>
    <col min="7" max="7" width="10.85546875" customWidth="1"/>
    <col min="8" max="9" width="9.5703125" bestFit="1" customWidth="1"/>
  </cols>
  <sheetData>
    <row r="14" spans="5:16" s="147" customFormat="1" x14ac:dyDescent="0.25">
      <c r="F14" s="285" t="s">
        <v>73</v>
      </c>
      <c r="G14" s="285"/>
      <c r="H14" s="285"/>
      <c r="J14" s="285" t="s">
        <v>74</v>
      </c>
      <c r="K14" s="285"/>
      <c r="L14" s="285"/>
      <c r="N14" s="285" t="s">
        <v>75</v>
      </c>
      <c r="O14" s="285"/>
      <c r="P14" s="285"/>
    </row>
    <row r="15" spans="5:16" s="147" customFormat="1" x14ac:dyDescent="0.25">
      <c r="F15" s="168" t="s">
        <v>77</v>
      </c>
      <c r="G15" s="148" t="s">
        <v>76</v>
      </c>
      <c r="H15" s="149" t="e">
        <f>#REF!</f>
        <v>#REF!</v>
      </c>
      <c r="L15" s="149" t="e">
        <f>#REF!</f>
        <v>#REF!</v>
      </c>
      <c r="P15" s="149" t="e">
        <f>#REF!</f>
        <v>#REF!</v>
      </c>
    </row>
    <row r="16" spans="5:16" x14ac:dyDescent="0.25">
      <c r="E16" s="150">
        <v>43922</v>
      </c>
      <c r="F16" s="151" t="e">
        <f>#REF!</f>
        <v>#REF!</v>
      </c>
      <c r="G16" s="151">
        <f>'[1]APRIL 18'!F49</f>
        <v>0</v>
      </c>
      <c r="H16" s="151" t="e">
        <f>H15+F16-G16</f>
        <v>#REF!</v>
      </c>
      <c r="J16" s="151" t="e">
        <f>#REF!</f>
        <v>#REF!</v>
      </c>
      <c r="K16" s="151">
        <f>'[1]APRIL 18'!L49</f>
        <v>0</v>
      </c>
      <c r="L16" s="151" t="e">
        <f>L15+J16-K16</f>
        <v>#REF!</v>
      </c>
      <c r="N16" s="151" t="e">
        <f>#REF!</f>
        <v>#REF!</v>
      </c>
      <c r="O16" s="151">
        <f>'[1]APRIL 18'!R49</f>
        <v>0</v>
      </c>
      <c r="P16" s="151" t="e">
        <f>P15+N16-O16</f>
        <v>#REF!</v>
      </c>
    </row>
    <row r="17" spans="5:16" x14ac:dyDescent="0.25">
      <c r="E17" s="150">
        <v>43952</v>
      </c>
      <c r="F17" s="151" t="e">
        <f>#REF!</f>
        <v>#REF!</v>
      </c>
      <c r="G17" s="151" t="e">
        <f>#REF!</f>
        <v>#REF!</v>
      </c>
      <c r="H17" s="151" t="e">
        <f>H16+F17-G17</f>
        <v>#REF!</v>
      </c>
      <c r="J17" s="151" t="e">
        <f>#REF!</f>
        <v>#REF!</v>
      </c>
      <c r="K17" s="151" t="e">
        <f>#REF!</f>
        <v>#REF!</v>
      </c>
      <c r="L17" s="151" t="e">
        <f>L16+J17-K17</f>
        <v>#REF!</v>
      </c>
      <c r="N17" s="151" t="e">
        <f>#REF!</f>
        <v>#REF!</v>
      </c>
      <c r="O17" s="151">
        <f>'[1]may 18'!R49</f>
        <v>0</v>
      </c>
      <c r="P17" s="151" t="e">
        <f>P16+N17-O17</f>
        <v>#REF!</v>
      </c>
    </row>
    <row r="18" spans="5:16" x14ac:dyDescent="0.25">
      <c r="E18" s="150">
        <v>43983</v>
      </c>
      <c r="F18" s="151" t="e">
        <f>#REF!</f>
        <v>#REF!</v>
      </c>
      <c r="G18" s="151" t="e">
        <f>#REF!</f>
        <v>#REF!</v>
      </c>
      <c r="H18" s="151" t="e">
        <f>H17+F18-G18</f>
        <v>#REF!</v>
      </c>
      <c r="J18" s="151" t="e">
        <f>#REF!</f>
        <v>#REF!</v>
      </c>
      <c r="K18" s="151" t="e">
        <f>#REF!</f>
        <v>#REF!</v>
      </c>
      <c r="L18" s="151" t="e">
        <f>L17+J18-K18</f>
        <v>#REF!</v>
      </c>
      <c r="N18" s="151" t="e">
        <f>#REF!-#REF!</f>
        <v>#REF!</v>
      </c>
      <c r="O18" s="151">
        <f>'[1]june 18'!R50</f>
        <v>0</v>
      </c>
      <c r="P18" s="151" t="e">
        <f>P17+N18-O18</f>
        <v>#REF!</v>
      </c>
    </row>
    <row r="19" spans="5:16" x14ac:dyDescent="0.25">
      <c r="E19" s="150">
        <v>44013</v>
      </c>
      <c r="F19" s="151" t="e">
        <f>#REF!</f>
        <v>#REF!</v>
      </c>
      <c r="G19" s="151" t="e">
        <f>#REF!</f>
        <v>#REF!</v>
      </c>
      <c r="H19" s="151" t="e">
        <f>H18+F19-G19</f>
        <v>#REF!</v>
      </c>
      <c r="J19" s="151" t="e">
        <f>#REF!</f>
        <v>#REF!</v>
      </c>
      <c r="K19" s="151">
        <f>'[1]july 18'!L50</f>
        <v>0</v>
      </c>
      <c r="L19" s="151" t="e">
        <f>L18+J19-K19</f>
        <v>#REF!</v>
      </c>
      <c r="N19" s="151" t="e">
        <f>#REF!</f>
        <v>#REF!</v>
      </c>
      <c r="O19" s="151" t="e">
        <f>#REF!</f>
        <v>#REF!</v>
      </c>
      <c r="P19" s="151" t="e">
        <f>P18+N19-O19</f>
        <v>#REF!</v>
      </c>
    </row>
    <row r="20" spans="5:16" x14ac:dyDescent="0.25">
      <c r="E20" s="150">
        <v>44044</v>
      </c>
      <c r="F20" s="151" t="e">
        <f>#REF!</f>
        <v>#REF!</v>
      </c>
      <c r="G20" s="151" t="e">
        <f>#REF!</f>
        <v>#REF!</v>
      </c>
      <c r="H20" s="151" t="e">
        <f t="shared" ref="H20:H27" si="0">H19+F20-G20</f>
        <v>#REF!</v>
      </c>
      <c r="J20" s="151" t="e">
        <f>#REF!</f>
        <v>#REF!</v>
      </c>
      <c r="K20" s="151" t="e">
        <f>#REF!</f>
        <v>#REF!</v>
      </c>
      <c r="L20" s="151" t="e">
        <f t="shared" ref="L20:L27" si="1">L19+J20-K20</f>
        <v>#REF!</v>
      </c>
      <c r="N20" s="151" t="e">
        <f>#REF!</f>
        <v>#REF!</v>
      </c>
      <c r="O20" s="151" t="e">
        <f>#REF!</f>
        <v>#REF!</v>
      </c>
      <c r="P20" s="151" t="e">
        <f t="shared" ref="P20:P27" si="2">P19+N20-O20</f>
        <v>#REF!</v>
      </c>
    </row>
    <row r="21" spans="5:16" x14ac:dyDescent="0.25">
      <c r="E21" s="150">
        <v>44075</v>
      </c>
      <c r="F21" s="151"/>
      <c r="G21" s="151">
        <f>'[1]sep 18'!F50</f>
        <v>0</v>
      </c>
      <c r="H21" s="151" t="e">
        <f t="shared" si="0"/>
        <v>#REF!</v>
      </c>
      <c r="J21" s="151"/>
      <c r="K21" s="151">
        <f>'[1]sep 18'!L50</f>
        <v>0</v>
      </c>
      <c r="L21" s="151" t="e">
        <f t="shared" si="1"/>
        <v>#REF!</v>
      </c>
      <c r="N21" s="151"/>
      <c r="O21" s="151">
        <f>'[1]sep 18'!R50</f>
        <v>0</v>
      </c>
      <c r="P21" s="151" t="e">
        <f t="shared" si="2"/>
        <v>#REF!</v>
      </c>
    </row>
    <row r="22" spans="5:16" x14ac:dyDescent="0.25">
      <c r="E22" s="150">
        <v>44105</v>
      </c>
      <c r="F22" s="151"/>
      <c r="G22" s="151">
        <f>'[1]oct 18'!F50</f>
        <v>0</v>
      </c>
      <c r="H22" s="151" t="e">
        <f t="shared" si="0"/>
        <v>#REF!</v>
      </c>
      <c r="J22" s="151"/>
      <c r="K22" s="151">
        <f>'[1]oct 18'!L50</f>
        <v>0</v>
      </c>
      <c r="L22" s="151" t="e">
        <f t="shared" si="1"/>
        <v>#REF!</v>
      </c>
      <c r="N22" s="151"/>
      <c r="O22" s="151">
        <f>'[1]oct 18'!R50</f>
        <v>0</v>
      </c>
      <c r="P22" s="151" t="e">
        <f t="shared" si="2"/>
        <v>#REF!</v>
      </c>
    </row>
    <row r="23" spans="5:16" x14ac:dyDescent="0.25">
      <c r="E23" s="150">
        <v>44136</v>
      </c>
      <c r="F23" s="151"/>
      <c r="G23" s="151">
        <f>'[1]nov 18'!F50</f>
        <v>0</v>
      </c>
      <c r="H23" s="151" t="e">
        <f t="shared" si="0"/>
        <v>#REF!</v>
      </c>
      <c r="J23" s="151"/>
      <c r="K23" s="151">
        <f>'[1]nov 18'!L50</f>
        <v>0</v>
      </c>
      <c r="L23" s="151" t="e">
        <f t="shared" si="1"/>
        <v>#REF!</v>
      </c>
      <c r="N23" s="151"/>
      <c r="O23" s="151">
        <f>'[1]nov 18'!R50</f>
        <v>0</v>
      </c>
      <c r="P23" s="151" t="e">
        <f t="shared" si="2"/>
        <v>#REF!</v>
      </c>
    </row>
    <row r="24" spans="5:16" x14ac:dyDescent="0.25">
      <c r="E24" s="150">
        <v>44166</v>
      </c>
      <c r="F24" s="151"/>
      <c r="G24" s="151">
        <f>'[1]dec 18'!F50</f>
        <v>0</v>
      </c>
      <c r="H24" s="151" t="e">
        <f t="shared" si="0"/>
        <v>#REF!</v>
      </c>
      <c r="J24" s="151"/>
      <c r="K24" s="151">
        <f>'[1]dec 18'!L50</f>
        <v>0</v>
      </c>
      <c r="L24" s="151" t="e">
        <f t="shared" si="1"/>
        <v>#REF!</v>
      </c>
      <c r="N24" s="151"/>
      <c r="O24" s="151">
        <f>'[1]dec 18'!R50</f>
        <v>0</v>
      </c>
      <c r="P24" s="151" t="e">
        <f t="shared" si="2"/>
        <v>#REF!</v>
      </c>
    </row>
    <row r="25" spans="5:16" x14ac:dyDescent="0.25">
      <c r="E25" s="150">
        <v>44197</v>
      </c>
      <c r="F25" s="151"/>
      <c r="G25" s="151">
        <f>'[1]jan 19'!F50</f>
        <v>0</v>
      </c>
      <c r="H25" s="151" t="e">
        <f t="shared" si="0"/>
        <v>#REF!</v>
      </c>
      <c r="J25" s="151"/>
      <c r="K25" s="151">
        <f>'[1]jan 19'!L50</f>
        <v>0</v>
      </c>
      <c r="L25" s="151" t="e">
        <f t="shared" si="1"/>
        <v>#REF!</v>
      </c>
      <c r="N25" s="151"/>
      <c r="O25" s="151">
        <f>'[1]jan 19'!R50</f>
        <v>0</v>
      </c>
      <c r="P25" s="151" t="e">
        <f t="shared" si="2"/>
        <v>#REF!</v>
      </c>
    </row>
    <row r="26" spans="5:16" x14ac:dyDescent="0.25">
      <c r="E26" s="150">
        <v>44228</v>
      </c>
      <c r="F26" s="151"/>
      <c r="G26" s="151">
        <f>'[1]feb 19'!F50</f>
        <v>0</v>
      </c>
      <c r="H26" s="151" t="e">
        <f t="shared" si="0"/>
        <v>#REF!</v>
      </c>
      <c r="J26" s="151"/>
      <c r="K26" s="151">
        <f>'[1]feb 19'!L50</f>
        <v>0</v>
      </c>
      <c r="L26" s="151" t="e">
        <f t="shared" si="1"/>
        <v>#REF!</v>
      </c>
      <c r="N26" s="151"/>
      <c r="O26" s="151">
        <f>'[1]feb 19'!R50</f>
        <v>0</v>
      </c>
      <c r="P26" s="151" t="e">
        <f t="shared" si="2"/>
        <v>#REF!</v>
      </c>
    </row>
    <row r="27" spans="5:16" x14ac:dyDescent="0.25">
      <c r="E27" s="150">
        <v>44256</v>
      </c>
      <c r="F27" s="151"/>
      <c r="G27" s="151">
        <f>'[1]mar 19'!F50</f>
        <v>0</v>
      </c>
      <c r="H27" s="151" t="e">
        <f t="shared" si="0"/>
        <v>#REF!</v>
      </c>
      <c r="J27" s="151"/>
      <c r="K27" s="151">
        <f>'[1]mar 19'!L50</f>
        <v>0</v>
      </c>
      <c r="L27" s="151" t="e">
        <f t="shared" si="1"/>
        <v>#REF!</v>
      </c>
      <c r="N27" s="151"/>
      <c r="O27" s="151">
        <f>'[1]mar 19'!R50</f>
        <v>0</v>
      </c>
      <c r="P27" s="151" t="e">
        <f t="shared" si="2"/>
        <v>#REF!</v>
      </c>
    </row>
    <row r="28" spans="5:16" x14ac:dyDescent="0.25">
      <c r="F28" s="151" t="e">
        <f>SUM(F16:F27)</f>
        <v>#REF!</v>
      </c>
      <c r="G28" s="151" t="e">
        <f>SUM(G16:G27)</f>
        <v>#REF!</v>
      </c>
      <c r="J28" s="151" t="e">
        <f>SUM(J16:J27)</f>
        <v>#REF!</v>
      </c>
      <c r="K28" s="151" t="e">
        <f>SUM(K16:K27)</f>
        <v>#REF!</v>
      </c>
      <c r="N28" s="151" t="e">
        <f>SUM(N16:N27)</f>
        <v>#REF!</v>
      </c>
      <c r="O28" s="151" t="e">
        <f>SUM(O16:O27)</f>
        <v>#REF!</v>
      </c>
    </row>
    <row r="32" spans="5:16" x14ac:dyDescent="0.25">
      <c r="F32" s="151" t="e">
        <f>F28+J28+N28</f>
        <v>#REF!</v>
      </c>
      <c r="G32" s="151" t="e">
        <f>G28+K28+O28</f>
        <v>#REF!</v>
      </c>
      <c r="H32" s="170" t="e">
        <f>H15+F28-G28</f>
        <v>#REF!</v>
      </c>
      <c r="L32" s="170" t="e">
        <f>L15+J28-K28</f>
        <v>#REF!</v>
      </c>
      <c r="P32" s="170" t="e">
        <f>P15+N28-O28</f>
        <v>#REF!</v>
      </c>
    </row>
    <row r="37" spans="6:8" x14ac:dyDescent="0.25">
      <c r="F37" s="151" t="e">
        <f>H15+L15+P15+F32-G28-K28</f>
        <v>#REF!</v>
      </c>
      <c r="H37" s="151" t="e">
        <f>H32+L32+P32</f>
        <v>#REF!</v>
      </c>
    </row>
  </sheetData>
  <mergeCells count="3">
    <mergeCell ref="F14:H14"/>
    <mergeCell ref="J14:L14"/>
    <mergeCell ref="N14:P1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="55" zoomScaleNormal="55" workbookViewId="0">
      <selection activeCell="F5" sqref="F5:G5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142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02" t="s">
        <v>122</v>
      </c>
      <c r="B4" s="305" t="s">
        <v>121</v>
      </c>
      <c r="C4" s="281" t="s">
        <v>131</v>
      </c>
      <c r="D4" s="282"/>
      <c r="E4" s="282"/>
      <c r="F4" s="282"/>
      <c r="G4" s="282"/>
      <c r="H4" s="282"/>
      <c r="I4" s="281" t="s">
        <v>130</v>
      </c>
      <c r="J4" s="282"/>
      <c r="K4" s="282"/>
      <c r="L4" s="282"/>
      <c r="M4" s="282"/>
      <c r="N4" s="282"/>
      <c r="O4" s="281" t="s">
        <v>129</v>
      </c>
      <c r="P4" s="282"/>
      <c r="Q4" s="282"/>
      <c r="R4" s="282"/>
      <c r="S4" s="282"/>
      <c r="T4" s="282"/>
      <c r="U4" s="214"/>
    </row>
    <row r="5" spans="1:21" s="108" customFormat="1" ht="54.75" customHeight="1" x14ac:dyDescent="0.25">
      <c r="A5" s="304"/>
      <c r="B5" s="306"/>
      <c r="C5" s="291" t="s">
        <v>6</v>
      </c>
      <c r="D5" s="289" t="s">
        <v>127</v>
      </c>
      <c r="E5" s="290"/>
      <c r="F5" s="289" t="s">
        <v>126</v>
      </c>
      <c r="G5" s="290"/>
      <c r="H5" s="291" t="s">
        <v>9</v>
      </c>
      <c r="I5" s="291" t="s">
        <v>6</v>
      </c>
      <c r="J5" s="289" t="s">
        <v>127</v>
      </c>
      <c r="K5" s="290"/>
      <c r="L5" s="289" t="s">
        <v>126</v>
      </c>
      <c r="M5" s="290"/>
      <c r="N5" s="291" t="s">
        <v>9</v>
      </c>
      <c r="O5" s="291" t="s">
        <v>6</v>
      </c>
      <c r="P5" s="289" t="s">
        <v>127</v>
      </c>
      <c r="Q5" s="290"/>
      <c r="R5" s="289" t="s">
        <v>126</v>
      </c>
      <c r="S5" s="290"/>
      <c r="T5" s="291" t="s">
        <v>9</v>
      </c>
      <c r="U5" s="305" t="s">
        <v>128</v>
      </c>
    </row>
    <row r="6" spans="1:21" s="108" customFormat="1" ht="38.25" customHeight="1" x14ac:dyDescent="0.25">
      <c r="A6" s="304"/>
      <c r="B6" s="307"/>
      <c r="C6" s="292"/>
      <c r="D6" s="172" t="s">
        <v>124</v>
      </c>
      <c r="E6" s="172" t="s">
        <v>125</v>
      </c>
      <c r="F6" s="172" t="s">
        <v>124</v>
      </c>
      <c r="G6" s="172" t="s">
        <v>125</v>
      </c>
      <c r="H6" s="292"/>
      <c r="I6" s="292"/>
      <c r="J6" s="172" t="s">
        <v>124</v>
      </c>
      <c r="K6" s="172" t="s">
        <v>125</v>
      </c>
      <c r="L6" s="172" t="s">
        <v>124</v>
      </c>
      <c r="M6" s="172" t="s">
        <v>125</v>
      </c>
      <c r="N6" s="292"/>
      <c r="O6" s="292"/>
      <c r="P6" s="172" t="s">
        <v>124</v>
      </c>
      <c r="Q6" s="172" t="s">
        <v>125</v>
      </c>
      <c r="R6" s="172" t="s">
        <v>124</v>
      </c>
      <c r="S6" s="172" t="s">
        <v>125</v>
      </c>
      <c r="T6" s="292"/>
      <c r="U6" s="307"/>
    </row>
    <row r="7" spans="1:21" ht="38.25" customHeight="1" x14ac:dyDescent="0.35">
      <c r="A7" s="171">
        <v>1</v>
      </c>
      <c r="B7" s="172" t="s">
        <v>78</v>
      </c>
      <c r="C7" s="139">
        <v>189.45999999999998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189.45999999999998</v>
      </c>
      <c r="I7" s="139">
        <v>404.38799999999986</v>
      </c>
      <c r="J7" s="139">
        <v>1.27</v>
      </c>
      <c r="K7" s="139">
        <v>43.063000000000009</v>
      </c>
      <c r="L7" s="139">
        <v>0</v>
      </c>
      <c r="M7" s="139">
        <v>0</v>
      </c>
      <c r="N7" s="139">
        <v>405.65799999999984</v>
      </c>
      <c r="O7" s="139">
        <v>17.390000000000008</v>
      </c>
      <c r="P7" s="139">
        <v>0</v>
      </c>
      <c r="Q7" s="139">
        <v>1.88</v>
      </c>
      <c r="R7" s="139">
        <v>0</v>
      </c>
      <c r="S7" s="139">
        <v>1.88</v>
      </c>
      <c r="T7" s="139">
        <v>17.390000000000008</v>
      </c>
      <c r="U7" s="139">
        <f>T7+N7+H7</f>
        <v>612.50799999999981</v>
      </c>
    </row>
    <row r="8" spans="1:21" ht="38.25" customHeight="1" x14ac:dyDescent="0.35">
      <c r="A8" s="171">
        <v>2</v>
      </c>
      <c r="B8" s="172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305.38800000000003</v>
      </c>
      <c r="J8" s="139">
        <v>1.722</v>
      </c>
      <c r="K8" s="139">
        <v>44.93</v>
      </c>
      <c r="L8" s="139">
        <v>0</v>
      </c>
      <c r="M8" s="139">
        <v>0</v>
      </c>
      <c r="N8" s="139">
        <v>307.11</v>
      </c>
      <c r="O8" s="139">
        <v>66.290000000000006</v>
      </c>
      <c r="P8" s="139">
        <v>0</v>
      </c>
      <c r="Q8" s="139">
        <v>3.18</v>
      </c>
      <c r="R8" s="139">
        <v>0</v>
      </c>
      <c r="S8" s="139">
        <v>0</v>
      </c>
      <c r="T8" s="139">
        <v>66.290000000000006</v>
      </c>
      <c r="U8" s="139">
        <f t="shared" ref="U8:U10" si="0">T8+N8+H8</f>
        <v>638.79</v>
      </c>
    </row>
    <row r="9" spans="1:21" ht="38.25" customHeight="1" x14ac:dyDescent="0.35">
      <c r="A9" s="171">
        <v>3</v>
      </c>
      <c r="B9" s="172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695.80799999999999</v>
      </c>
      <c r="J9" s="139">
        <v>1.22</v>
      </c>
      <c r="K9" s="139">
        <v>13.5</v>
      </c>
      <c r="L9" s="139">
        <v>0</v>
      </c>
      <c r="M9" s="139">
        <v>0</v>
      </c>
      <c r="N9" s="139">
        <v>697.02800000000002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f t="shared" si="0"/>
        <v>950.928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341.91500000000002</v>
      </c>
      <c r="J10" s="139">
        <v>0.09</v>
      </c>
      <c r="K10" s="139">
        <v>4.4499999999999993</v>
      </c>
      <c r="L10" s="139">
        <v>0</v>
      </c>
      <c r="M10" s="139">
        <v>0</v>
      </c>
      <c r="N10" s="139">
        <v>342.005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f t="shared" si="0"/>
        <v>342.20499999999998</v>
      </c>
    </row>
    <row r="11" spans="1:21" s="111" customFormat="1" ht="38.25" customHeight="1" x14ac:dyDescent="0.4">
      <c r="A11" s="308" t="s">
        <v>82</v>
      </c>
      <c r="B11" s="309"/>
      <c r="C11" s="141">
        <f>SUM(C7:C10)</f>
        <v>664.01</v>
      </c>
      <c r="D11" s="141">
        <f t="shared" ref="D11:T11" si="1">SUM(D7:D10)</f>
        <v>0</v>
      </c>
      <c r="E11" s="141">
        <f t="shared" si="1"/>
        <v>0</v>
      </c>
      <c r="F11" s="141">
        <f t="shared" si="1"/>
        <v>0</v>
      </c>
      <c r="G11" s="141">
        <f t="shared" si="1"/>
        <v>8.9580000000000002</v>
      </c>
      <c r="H11" s="141">
        <f t="shared" si="1"/>
        <v>664.01</v>
      </c>
      <c r="I11" s="141">
        <f t="shared" si="1"/>
        <v>1747.4989999999998</v>
      </c>
      <c r="J11" s="141">
        <f t="shared" si="1"/>
        <v>4.3019999999999996</v>
      </c>
      <c r="K11" s="141">
        <f t="shared" si="1"/>
        <v>105.94300000000001</v>
      </c>
      <c r="L11" s="141">
        <f t="shared" si="1"/>
        <v>0</v>
      </c>
      <c r="M11" s="141">
        <f t="shared" si="1"/>
        <v>0</v>
      </c>
      <c r="N11" s="141">
        <f t="shared" si="1"/>
        <v>1751.8009999999999</v>
      </c>
      <c r="O11" s="141">
        <f t="shared" si="1"/>
        <v>128.62</v>
      </c>
      <c r="P11" s="141">
        <f t="shared" si="1"/>
        <v>0</v>
      </c>
      <c r="Q11" s="141">
        <f t="shared" si="1"/>
        <v>5.0600000000000005</v>
      </c>
      <c r="R11" s="141">
        <f t="shared" si="1"/>
        <v>0</v>
      </c>
      <c r="S11" s="141">
        <f t="shared" si="1"/>
        <v>1.88</v>
      </c>
      <c r="T11" s="141">
        <f t="shared" si="1"/>
        <v>128.62</v>
      </c>
      <c r="U11" s="141">
        <f>U10+U9+U8+U7</f>
        <v>2544.4309999999996</v>
      </c>
    </row>
    <row r="12" spans="1:21" ht="38.25" customHeight="1" x14ac:dyDescent="0.35">
      <c r="A12" s="171">
        <v>4</v>
      </c>
      <c r="B12" s="172" t="s">
        <v>83</v>
      </c>
      <c r="C12" s="139">
        <v>413.23999999999961</v>
      </c>
      <c r="D12" s="139">
        <v>0</v>
      </c>
      <c r="E12" s="139">
        <v>0</v>
      </c>
      <c r="F12" s="139">
        <v>0</v>
      </c>
      <c r="G12" s="139">
        <v>23.09</v>
      </c>
      <c r="H12" s="139">
        <v>413.23999999999961</v>
      </c>
      <c r="I12" s="139">
        <v>803.17499999999995</v>
      </c>
      <c r="J12" s="139">
        <v>0.28999999999999998</v>
      </c>
      <c r="K12" s="139">
        <v>67.295000000000002</v>
      </c>
      <c r="L12" s="139">
        <v>0</v>
      </c>
      <c r="M12" s="139">
        <v>0</v>
      </c>
      <c r="N12" s="139">
        <v>803.46499999999992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v>36.850000000000009</v>
      </c>
      <c r="U12" s="139">
        <f>T12+N12+H12</f>
        <v>1253.5549999999996</v>
      </c>
    </row>
    <row r="13" spans="1:21" ht="38.25" customHeight="1" x14ac:dyDescent="0.35">
      <c r="A13" s="171">
        <v>5</v>
      </c>
      <c r="B13" s="172" t="s">
        <v>84</v>
      </c>
      <c r="C13" s="139">
        <v>312.23000000000013</v>
      </c>
      <c r="D13" s="139">
        <v>0</v>
      </c>
      <c r="E13" s="139">
        <v>0.85</v>
      </c>
      <c r="F13" s="139">
        <v>0</v>
      </c>
      <c r="G13" s="139">
        <v>0</v>
      </c>
      <c r="H13" s="139">
        <v>312.23000000000013</v>
      </c>
      <c r="I13" s="139">
        <v>525.62200000000018</v>
      </c>
      <c r="J13" s="139">
        <v>1.0900000000000001</v>
      </c>
      <c r="K13" s="139">
        <v>9.8419999999999987</v>
      </c>
      <c r="L13" s="139">
        <v>0</v>
      </c>
      <c r="M13" s="139">
        <v>0</v>
      </c>
      <c r="N13" s="139">
        <v>526.71200000000022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f t="shared" ref="U13:U49" si="2">T13+N13+H13</f>
        <v>907.33200000000033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1216.4399999999994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1216.4399999999994</v>
      </c>
      <c r="I14" s="139">
        <v>858.40800000000024</v>
      </c>
      <c r="J14" s="139">
        <v>1.21</v>
      </c>
      <c r="K14" s="139">
        <v>41.317999999999998</v>
      </c>
      <c r="L14" s="139">
        <v>0</v>
      </c>
      <c r="M14" s="139">
        <v>0</v>
      </c>
      <c r="N14" s="139">
        <v>859.61800000000028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f t="shared" si="2"/>
        <v>2137.3879999999999</v>
      </c>
    </row>
    <row r="15" spans="1:21" s="111" customFormat="1" ht="38.25" customHeight="1" x14ac:dyDescent="0.4">
      <c r="A15" s="308" t="s">
        <v>86</v>
      </c>
      <c r="B15" s="309"/>
      <c r="C15" s="141">
        <f>SUM(C12:C14)</f>
        <v>1941.9099999999992</v>
      </c>
      <c r="D15" s="141">
        <f t="shared" ref="D15:T15" si="3">SUM(D12:D14)</f>
        <v>0</v>
      </c>
      <c r="E15" s="141">
        <f t="shared" si="3"/>
        <v>1</v>
      </c>
      <c r="F15" s="141">
        <f t="shared" si="3"/>
        <v>0</v>
      </c>
      <c r="G15" s="141">
        <f t="shared" si="3"/>
        <v>23.09</v>
      </c>
      <c r="H15" s="141">
        <f t="shared" si="3"/>
        <v>1941.9099999999992</v>
      </c>
      <c r="I15" s="141">
        <f t="shared" si="3"/>
        <v>2187.2050000000004</v>
      </c>
      <c r="J15" s="141">
        <f t="shared" si="3"/>
        <v>2.59</v>
      </c>
      <c r="K15" s="141">
        <f t="shared" si="3"/>
        <v>118.455</v>
      </c>
      <c r="L15" s="141">
        <f t="shared" si="3"/>
        <v>0</v>
      </c>
      <c r="M15" s="141">
        <f t="shared" si="3"/>
        <v>0</v>
      </c>
      <c r="N15" s="141">
        <f t="shared" si="3"/>
        <v>2189.7950000000005</v>
      </c>
      <c r="O15" s="141">
        <f t="shared" si="3"/>
        <v>166.57</v>
      </c>
      <c r="P15" s="141">
        <f t="shared" si="3"/>
        <v>0</v>
      </c>
      <c r="Q15" s="141">
        <f t="shared" si="3"/>
        <v>0</v>
      </c>
      <c r="R15" s="141">
        <f t="shared" si="3"/>
        <v>0</v>
      </c>
      <c r="S15" s="141">
        <f t="shared" si="3"/>
        <v>0</v>
      </c>
      <c r="T15" s="141">
        <f t="shared" si="3"/>
        <v>166.57</v>
      </c>
      <c r="U15" s="141">
        <f t="shared" si="2"/>
        <v>4298.2749999999996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f>'[4]December 2021'!H16</f>
        <v>1011.2140000000004</v>
      </c>
      <c r="D16" s="139">
        <v>0</v>
      </c>
      <c r="E16" s="139">
        <f>'[4]December 2021'!E16+'[4]January 2022'!D16</f>
        <v>1.9299999999999997</v>
      </c>
      <c r="F16" s="139">
        <v>0</v>
      </c>
      <c r="G16" s="139">
        <f>'[4]December 2021'!G16+'[4]January 2022'!F16</f>
        <v>57.36</v>
      </c>
      <c r="H16" s="139">
        <f t="shared" ref="H16:H48" si="4">C16+(D16-F16)</f>
        <v>1011.2140000000004</v>
      </c>
      <c r="I16" s="139">
        <f>'[4]December 2021'!N16</f>
        <v>275.71600000000001</v>
      </c>
      <c r="J16" s="139">
        <f>2.39+6</f>
        <v>8.39</v>
      </c>
      <c r="K16" s="139">
        <f>'[4]December 2021'!K16+'[4]January 2022'!J16</f>
        <v>157.42500000000001</v>
      </c>
      <c r="L16" s="139">
        <v>0</v>
      </c>
      <c r="M16" s="139">
        <f>'[4]December 2021'!M16+'[4]January 2022'!L16</f>
        <v>0</v>
      </c>
      <c r="N16" s="139">
        <f t="shared" ref="N16:N48" si="5">I16+(J16-L16)</f>
        <v>284.10599999999999</v>
      </c>
      <c r="O16" s="139">
        <f>'[4]December 2021'!T16</f>
        <v>177.31200000000004</v>
      </c>
      <c r="P16" s="139">
        <v>0</v>
      </c>
      <c r="Q16" s="139">
        <f>'[4]December 2021'!Q16+'[4]January 2022'!P16</f>
        <v>0.05</v>
      </c>
      <c r="R16" s="139">
        <v>0</v>
      </c>
      <c r="S16" s="139">
        <f>'[4]December 2021'!S16+'[4]January 2022'!R16</f>
        <v>0</v>
      </c>
      <c r="T16" s="139">
        <f t="shared" ref="T16:T48" si="6">O16+(P16-R16)</f>
        <v>177.31200000000004</v>
      </c>
      <c r="U16" s="139">
        <f t="shared" si="2"/>
        <v>1472.6320000000005</v>
      </c>
    </row>
    <row r="17" spans="1:21" ht="38.25" customHeight="1" x14ac:dyDescent="0.35">
      <c r="A17" s="171">
        <v>9</v>
      </c>
      <c r="B17" s="172" t="s">
        <v>120</v>
      </c>
      <c r="C17" s="139">
        <f>'[4]December 2021'!H17</f>
        <v>58.815999999999946</v>
      </c>
      <c r="D17" s="174">
        <v>0</v>
      </c>
      <c r="E17" s="139">
        <f>'[4]December 2021'!E17+'[4]January 2022'!D17</f>
        <v>3.51</v>
      </c>
      <c r="F17" s="174">
        <v>47.69</v>
      </c>
      <c r="G17" s="139">
        <f>'[4]December 2021'!G17+'[4]January 2022'!F17</f>
        <v>115.52</v>
      </c>
      <c r="H17" s="139">
        <f t="shared" si="4"/>
        <v>11.125999999999948</v>
      </c>
      <c r="I17" s="139">
        <f>'[4]December 2021'!N17</f>
        <v>442.87000000000018</v>
      </c>
      <c r="J17" s="174">
        <f>46.57+4.5</f>
        <v>51.07</v>
      </c>
      <c r="K17" s="139">
        <f>'[4]December 2021'!K17+'[4]January 2022'!J17</f>
        <v>145.91</v>
      </c>
      <c r="L17" s="174">
        <v>0</v>
      </c>
      <c r="M17" s="139">
        <f>'[4]December 2021'!M17+'[4]January 2022'!L17</f>
        <v>0</v>
      </c>
      <c r="N17" s="139">
        <f t="shared" si="5"/>
        <v>493.94000000000017</v>
      </c>
      <c r="O17" s="139">
        <f>'[4]December 2021'!T17</f>
        <v>6.33</v>
      </c>
      <c r="P17" s="174">
        <v>0</v>
      </c>
      <c r="Q17" s="139">
        <f>'[4]December 2021'!Q17+'[4]January 2022'!P17</f>
        <v>0.03</v>
      </c>
      <c r="R17" s="174">
        <v>0</v>
      </c>
      <c r="S17" s="139">
        <f>'[4]December 2021'!S17+'[4]January 2022'!R17</f>
        <v>1.665</v>
      </c>
      <c r="T17" s="139">
        <f t="shared" si="6"/>
        <v>6.33</v>
      </c>
      <c r="U17" s="139">
        <f t="shared" si="2"/>
        <v>511.39600000000007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f>'[4]December 2021'!H18</f>
        <v>135.7760000000001</v>
      </c>
      <c r="D18" s="139">
        <v>0</v>
      </c>
      <c r="E18" s="139">
        <f>'[4]December 2021'!E18+'[4]January 2022'!D18</f>
        <v>0.29000000000000004</v>
      </c>
      <c r="F18" s="139">
        <v>59.79</v>
      </c>
      <c r="G18" s="139">
        <f>'[4]December 2021'!G18+'[4]January 2022'!F18</f>
        <v>59.79</v>
      </c>
      <c r="H18" s="139">
        <f t="shared" si="4"/>
        <v>75.986000000000104</v>
      </c>
      <c r="I18" s="139">
        <f>'[4]December 2021'!N18</f>
        <v>482.99699999999996</v>
      </c>
      <c r="J18" s="139">
        <v>1.43</v>
      </c>
      <c r="K18" s="139">
        <f>'[4]December 2021'!K18+'[4]January 2022'!J18</f>
        <v>141.88999999999999</v>
      </c>
      <c r="L18" s="139">
        <v>0</v>
      </c>
      <c r="M18" s="139">
        <f>'[4]December 2021'!M18+'[4]January 2022'!L18</f>
        <v>0</v>
      </c>
      <c r="N18" s="139">
        <f t="shared" si="5"/>
        <v>484.42699999999996</v>
      </c>
      <c r="O18" s="139">
        <f>'[4]December 2021'!T18</f>
        <v>38.869999999999997</v>
      </c>
      <c r="P18" s="139">
        <v>0</v>
      </c>
      <c r="Q18" s="139">
        <f>'[4]December 2021'!Q18+'[4]January 2022'!P18</f>
        <v>0</v>
      </c>
      <c r="R18" s="139">
        <v>0</v>
      </c>
      <c r="S18" s="139">
        <f>'[4]December 2021'!S18+'[4]January 2022'!R18</f>
        <v>0</v>
      </c>
      <c r="T18" s="139">
        <f t="shared" si="6"/>
        <v>38.869999999999997</v>
      </c>
      <c r="U18" s="139">
        <f t="shared" si="2"/>
        <v>599.28300000000002</v>
      </c>
    </row>
    <row r="19" spans="1:21" s="111" customFormat="1" ht="38.25" customHeight="1" x14ac:dyDescent="0.4">
      <c r="A19" s="308" t="s">
        <v>89</v>
      </c>
      <c r="B19" s="309"/>
      <c r="C19" s="141">
        <f>SUM(C16:C18)</f>
        <v>1205.8060000000005</v>
      </c>
      <c r="D19" s="141">
        <f t="shared" ref="D19:T19" si="7">SUM(D16:D18)</f>
        <v>0</v>
      </c>
      <c r="E19" s="141">
        <f t="shared" si="7"/>
        <v>5.7299999999999995</v>
      </c>
      <c r="F19" s="141">
        <f t="shared" si="7"/>
        <v>107.47999999999999</v>
      </c>
      <c r="G19" s="141">
        <f t="shared" si="7"/>
        <v>232.67</v>
      </c>
      <c r="H19" s="141">
        <f t="shared" si="7"/>
        <v>1098.3260000000005</v>
      </c>
      <c r="I19" s="141">
        <f t="shared" si="7"/>
        <v>1201.5830000000001</v>
      </c>
      <c r="J19" s="141">
        <f t="shared" si="7"/>
        <v>60.89</v>
      </c>
      <c r="K19" s="141">
        <f t="shared" si="7"/>
        <v>445.22500000000002</v>
      </c>
      <c r="L19" s="141">
        <f t="shared" si="7"/>
        <v>0</v>
      </c>
      <c r="M19" s="141">
        <f t="shared" si="7"/>
        <v>0</v>
      </c>
      <c r="N19" s="141">
        <f t="shared" si="7"/>
        <v>1262.4730000000002</v>
      </c>
      <c r="O19" s="141">
        <f t="shared" si="7"/>
        <v>222.51200000000006</v>
      </c>
      <c r="P19" s="141">
        <f t="shared" si="7"/>
        <v>0</v>
      </c>
      <c r="Q19" s="141">
        <f t="shared" si="7"/>
        <v>0.08</v>
      </c>
      <c r="R19" s="141">
        <f t="shared" si="7"/>
        <v>0</v>
      </c>
      <c r="S19" s="141">
        <f t="shared" si="7"/>
        <v>1.665</v>
      </c>
      <c r="T19" s="141">
        <f t="shared" si="7"/>
        <v>222.51200000000006</v>
      </c>
      <c r="U19" s="141">
        <f t="shared" si="2"/>
        <v>2583.3110000000006</v>
      </c>
    </row>
    <row r="20" spans="1:21" ht="38.25" customHeight="1" x14ac:dyDescent="0.35">
      <c r="A20" s="171">
        <v>8</v>
      </c>
      <c r="B20" s="172" t="s">
        <v>91</v>
      </c>
      <c r="C20" s="139">
        <f>'[4]December 2021'!H20</f>
        <v>629.64</v>
      </c>
      <c r="D20" s="139">
        <v>0</v>
      </c>
      <c r="E20" s="139">
        <f>'[4]December 2021'!E20+'[4]January 2022'!D20</f>
        <v>2.37</v>
      </c>
      <c r="F20" s="139">
        <v>0</v>
      </c>
      <c r="G20" s="139">
        <f>'[4]December 2021'!G20+'[4]January 2022'!F20</f>
        <v>0.43</v>
      </c>
      <c r="H20" s="139">
        <f t="shared" si="4"/>
        <v>629.64</v>
      </c>
      <c r="I20" s="139">
        <f>'[4]December 2021'!N20</f>
        <v>394.99500000000012</v>
      </c>
      <c r="J20" s="139">
        <v>2.423</v>
      </c>
      <c r="K20" s="139">
        <f>'[4]December 2021'!K20+'[4]January 2022'!J20</f>
        <v>14.698</v>
      </c>
      <c r="L20" s="139">
        <v>0</v>
      </c>
      <c r="M20" s="139">
        <f>'[4]December 2021'!M20+'[4]January 2022'!L20</f>
        <v>0</v>
      </c>
      <c r="N20" s="139">
        <f t="shared" si="5"/>
        <v>397.41800000000012</v>
      </c>
      <c r="O20" s="139">
        <f>'[4]December 2021'!T20</f>
        <v>40.350000000000009</v>
      </c>
      <c r="P20" s="139">
        <v>0</v>
      </c>
      <c r="Q20" s="139">
        <f>'[4]December 2021'!Q20+'[4]January 2022'!P20</f>
        <v>0.15</v>
      </c>
      <c r="R20" s="139">
        <v>0</v>
      </c>
      <c r="S20" s="139">
        <f>'[4]December 2021'!S20+'[4]January 2022'!R20</f>
        <v>0.04</v>
      </c>
      <c r="T20" s="139">
        <f t="shared" si="6"/>
        <v>40.350000000000009</v>
      </c>
      <c r="U20" s="139">
        <f t="shared" si="2"/>
        <v>1067.4080000000001</v>
      </c>
    </row>
    <row r="21" spans="1:21" ht="38.25" customHeight="1" x14ac:dyDescent="0.35">
      <c r="A21" s="171">
        <v>9</v>
      </c>
      <c r="B21" s="172" t="s">
        <v>90</v>
      </c>
      <c r="C21" s="139">
        <f>'[4]December 2021'!H21</f>
        <v>22.51</v>
      </c>
      <c r="D21" s="139">
        <v>0</v>
      </c>
      <c r="E21" s="139">
        <f>'[4]December 2021'!E21+'[4]January 2022'!D21</f>
        <v>0</v>
      </c>
      <c r="F21" s="139">
        <v>0</v>
      </c>
      <c r="G21" s="139">
        <f>'[4]December 2021'!G21+'[4]January 2022'!F21</f>
        <v>8.36</v>
      </c>
      <c r="H21" s="139">
        <f t="shared" si="4"/>
        <v>22.51</v>
      </c>
      <c r="I21" s="139">
        <f>'[4]December 2021'!N21</f>
        <v>396.39699999999993</v>
      </c>
      <c r="J21" s="139">
        <v>0.67</v>
      </c>
      <c r="K21" s="139">
        <f>'[4]December 2021'!K21+'[4]January 2022'!J21</f>
        <v>28.374000000000006</v>
      </c>
      <c r="L21" s="139">
        <v>0</v>
      </c>
      <c r="M21" s="139">
        <f>'[4]December 2021'!M21+'[4]January 2022'!L21</f>
        <v>0</v>
      </c>
      <c r="N21" s="139">
        <f t="shared" si="5"/>
        <v>397.06699999999995</v>
      </c>
      <c r="O21" s="139">
        <f>'[4]December 2021'!T21</f>
        <v>19.369999999999997</v>
      </c>
      <c r="P21" s="139">
        <v>0</v>
      </c>
      <c r="Q21" s="139">
        <f>'[4]December 2021'!Q21+'[4]January 2022'!P21</f>
        <v>0</v>
      </c>
      <c r="R21" s="139">
        <v>0</v>
      </c>
      <c r="S21" s="139">
        <f>'[4]December 2021'!S21+'[4]January 2022'!R21</f>
        <v>0.19</v>
      </c>
      <c r="T21" s="139">
        <f t="shared" si="6"/>
        <v>19.369999999999997</v>
      </c>
      <c r="U21" s="139">
        <f t="shared" si="2"/>
        <v>438.94699999999995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f>'[4]December 2021'!H22</f>
        <v>118.15</v>
      </c>
      <c r="D22" s="139">
        <f>1.04</f>
        <v>1.04</v>
      </c>
      <c r="E22" s="139">
        <f>'[4]December 2021'!E22+'[4]January 2022'!D22</f>
        <v>2.93</v>
      </c>
      <c r="F22" s="139">
        <v>0</v>
      </c>
      <c r="G22" s="139">
        <f>'[4]December 2021'!G22+'[4]January 2022'!F22</f>
        <v>64.459999999999994</v>
      </c>
      <c r="H22" s="139">
        <f t="shared" si="4"/>
        <v>119.19000000000001</v>
      </c>
      <c r="I22" s="139">
        <f>'[4]December 2021'!N22</f>
        <v>451.48000000000008</v>
      </c>
      <c r="J22" s="139">
        <v>0.35</v>
      </c>
      <c r="K22" s="139">
        <f>'[4]December 2021'!K22+'[4]January 2022'!J22</f>
        <v>110.30499999999999</v>
      </c>
      <c r="L22" s="139">
        <v>0</v>
      </c>
      <c r="M22" s="139">
        <f>'[4]December 2021'!M22+'[4]January 2022'!L22</f>
        <v>19.510000000000002</v>
      </c>
      <c r="N22" s="139">
        <f t="shared" si="5"/>
        <v>451.8300000000001</v>
      </c>
      <c r="O22" s="139">
        <f>'[4]December 2021'!T22</f>
        <v>4.370000000000001</v>
      </c>
      <c r="P22" s="139">
        <v>0</v>
      </c>
      <c r="Q22" s="139">
        <f>'[4]December 2021'!Q22+'[4]January 2022'!P22</f>
        <v>0</v>
      </c>
      <c r="R22" s="139">
        <v>0</v>
      </c>
      <c r="S22" s="139">
        <f>'[4]December 2021'!S22+'[4]January 2022'!R22</f>
        <v>12.75</v>
      </c>
      <c r="T22" s="139">
        <f t="shared" si="6"/>
        <v>4.370000000000001</v>
      </c>
      <c r="U22" s="139">
        <f t="shared" si="2"/>
        <v>575.3900000000001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f>'[4]December 2021'!H23</f>
        <v>430.64</v>
      </c>
      <c r="D23" s="139">
        <v>0</v>
      </c>
      <c r="E23" s="139">
        <f>'[4]December 2021'!E23+'[4]January 2022'!D23</f>
        <v>8.35</v>
      </c>
      <c r="F23" s="139">
        <v>0</v>
      </c>
      <c r="G23" s="139">
        <f>'[4]December 2021'!G23+'[4]January 2022'!F23</f>
        <v>0</v>
      </c>
      <c r="H23" s="139">
        <f t="shared" si="4"/>
        <v>430.64</v>
      </c>
      <c r="I23" s="139">
        <f>'[4]December 2021'!N23</f>
        <v>85.694999999999993</v>
      </c>
      <c r="J23" s="139">
        <v>1.84</v>
      </c>
      <c r="K23" s="139">
        <f>'[4]December 2021'!K23+'[4]January 2022'!J23</f>
        <v>10.734999999999999</v>
      </c>
      <c r="L23" s="139">
        <v>0</v>
      </c>
      <c r="M23" s="139">
        <f>'[4]December 2021'!M23+'[4]January 2022'!L23</f>
        <v>0</v>
      </c>
      <c r="N23" s="139">
        <f t="shared" si="5"/>
        <v>87.534999999999997</v>
      </c>
      <c r="O23" s="139">
        <f>'[4]December 2021'!T23</f>
        <v>22.5</v>
      </c>
      <c r="P23" s="139">
        <v>0</v>
      </c>
      <c r="Q23" s="139">
        <f>'[4]December 2021'!Q23+'[4]January 2022'!P23</f>
        <v>0</v>
      </c>
      <c r="R23" s="139">
        <v>0</v>
      </c>
      <c r="S23" s="139">
        <f>'[4]December 2021'!S23+'[4]January 2022'!R23</f>
        <v>3.26</v>
      </c>
      <c r="T23" s="139">
        <f t="shared" si="6"/>
        <v>22.5</v>
      </c>
      <c r="U23" s="139">
        <f t="shared" si="2"/>
        <v>540.67499999999995</v>
      </c>
    </row>
    <row r="24" spans="1:21" s="111" customFormat="1" ht="38.25" customHeight="1" x14ac:dyDescent="0.4">
      <c r="A24" s="313" t="s">
        <v>94</v>
      </c>
      <c r="B24" s="313"/>
      <c r="C24" s="141">
        <f>SUM(C20:C23)</f>
        <v>1200.94</v>
      </c>
      <c r="D24" s="141">
        <f t="shared" ref="D24:T24" si="8">SUM(D20:D23)</f>
        <v>1.04</v>
      </c>
      <c r="E24" s="141">
        <f t="shared" si="8"/>
        <v>13.65</v>
      </c>
      <c r="F24" s="141">
        <f t="shared" si="8"/>
        <v>0</v>
      </c>
      <c r="G24" s="141">
        <f t="shared" si="8"/>
        <v>73.25</v>
      </c>
      <c r="H24" s="141">
        <f t="shared" si="8"/>
        <v>1201.98</v>
      </c>
      <c r="I24" s="141">
        <f t="shared" si="8"/>
        <v>1328.567</v>
      </c>
      <c r="J24" s="141">
        <f t="shared" si="8"/>
        <v>5.2830000000000004</v>
      </c>
      <c r="K24" s="141">
        <f t="shared" si="8"/>
        <v>164.11200000000002</v>
      </c>
      <c r="L24" s="141">
        <f t="shared" si="8"/>
        <v>0</v>
      </c>
      <c r="M24" s="141">
        <f t="shared" si="8"/>
        <v>19.510000000000002</v>
      </c>
      <c r="N24" s="141">
        <f t="shared" si="8"/>
        <v>1333.8500000000004</v>
      </c>
      <c r="O24" s="141">
        <f t="shared" si="8"/>
        <v>86.59</v>
      </c>
      <c r="P24" s="141">
        <f t="shared" si="8"/>
        <v>0</v>
      </c>
      <c r="Q24" s="141">
        <f t="shared" si="8"/>
        <v>0.15</v>
      </c>
      <c r="R24" s="141">
        <f t="shared" si="8"/>
        <v>0</v>
      </c>
      <c r="S24" s="141">
        <f t="shared" si="8"/>
        <v>16.240000000000002</v>
      </c>
      <c r="T24" s="141">
        <f t="shared" si="8"/>
        <v>86.59</v>
      </c>
      <c r="U24" s="141">
        <f t="shared" si="2"/>
        <v>2622.42</v>
      </c>
    </row>
    <row r="25" spans="1:21" s="145" customFormat="1" ht="38.25" customHeight="1" x14ac:dyDescent="0.4">
      <c r="A25" s="308" t="s">
        <v>95</v>
      </c>
      <c r="B25" s="309"/>
      <c r="C25" s="141">
        <f>C24+C19+C15+C11</f>
        <v>5012.6660000000002</v>
      </c>
      <c r="D25" s="141">
        <f t="shared" ref="D25:T25" si="9">D24+D19+D15+D11</f>
        <v>1.04</v>
      </c>
      <c r="E25" s="141">
        <f t="shared" si="9"/>
        <v>20.38</v>
      </c>
      <c r="F25" s="141">
        <f t="shared" si="9"/>
        <v>107.47999999999999</v>
      </c>
      <c r="G25" s="141">
        <f t="shared" si="9"/>
        <v>337.96799999999996</v>
      </c>
      <c r="H25" s="141">
        <f t="shared" si="9"/>
        <v>4906.2259999999997</v>
      </c>
      <c r="I25" s="141">
        <f t="shared" si="9"/>
        <v>6464.8540000000003</v>
      </c>
      <c r="J25" s="141">
        <f t="shared" si="9"/>
        <v>73.064999999999998</v>
      </c>
      <c r="K25" s="141">
        <f t="shared" si="9"/>
        <v>833.73500000000001</v>
      </c>
      <c r="L25" s="141">
        <f t="shared" si="9"/>
        <v>0</v>
      </c>
      <c r="M25" s="141">
        <f t="shared" si="9"/>
        <v>19.510000000000002</v>
      </c>
      <c r="N25" s="141">
        <f t="shared" si="9"/>
        <v>6537.9189999999999</v>
      </c>
      <c r="O25" s="141">
        <f t="shared" si="9"/>
        <v>604.29200000000014</v>
      </c>
      <c r="P25" s="141">
        <f t="shared" si="9"/>
        <v>0</v>
      </c>
      <c r="Q25" s="141">
        <f t="shared" si="9"/>
        <v>5.2900000000000009</v>
      </c>
      <c r="R25" s="141">
        <f t="shared" si="9"/>
        <v>0</v>
      </c>
      <c r="S25" s="141">
        <f t="shared" si="9"/>
        <v>19.785</v>
      </c>
      <c r="T25" s="141">
        <f t="shared" si="9"/>
        <v>604.29200000000014</v>
      </c>
      <c r="U25" s="141">
        <f t="shared" si="2"/>
        <v>12048.437</v>
      </c>
    </row>
    <row r="26" spans="1:21" ht="38.25" customHeight="1" x14ac:dyDescent="0.35">
      <c r="A26" s="171">
        <v>15</v>
      </c>
      <c r="B26" s="172" t="s">
        <v>96</v>
      </c>
      <c r="C26" s="139">
        <f>'[4]December 2021'!H26</f>
        <v>1533.3899999999999</v>
      </c>
      <c r="D26" s="139">
        <v>4.51</v>
      </c>
      <c r="E26" s="139">
        <f>'[4]December 2021'!E26+'[4]January 2022'!D26</f>
        <v>87.37</v>
      </c>
      <c r="F26" s="139">
        <v>0</v>
      </c>
      <c r="G26" s="139">
        <f>'[4]December 2021'!G26+'[4]January 2022'!F26</f>
        <v>0</v>
      </c>
      <c r="H26" s="139">
        <f t="shared" si="4"/>
        <v>1537.8999999999999</v>
      </c>
      <c r="I26" s="139">
        <f>'[4]December 2021'!N26</f>
        <v>63.970000000000006</v>
      </c>
      <c r="J26" s="139">
        <f>1.1</f>
        <v>1.1000000000000001</v>
      </c>
      <c r="K26" s="139">
        <f>'[4]December 2021'!K26+'[4]January 2022'!J26</f>
        <v>6.02</v>
      </c>
      <c r="L26" s="139">
        <v>0</v>
      </c>
      <c r="M26" s="139">
        <f>'[4]December 2021'!M26+'[4]January 2022'!L26</f>
        <v>0</v>
      </c>
      <c r="N26" s="139">
        <f t="shared" si="5"/>
        <v>65.070000000000007</v>
      </c>
      <c r="O26" s="139">
        <f>'[4]December 2021'!T26</f>
        <v>16.11</v>
      </c>
      <c r="P26" s="139">
        <v>0</v>
      </c>
      <c r="Q26" s="139">
        <f>'[4]December 2021'!Q26+'[4]January 2022'!P26</f>
        <v>2.62</v>
      </c>
      <c r="R26" s="139">
        <v>0</v>
      </c>
      <c r="S26" s="139">
        <f>'[4]December 2021'!S26+'[4]January 2022'!R26</f>
        <v>0</v>
      </c>
      <c r="T26" s="139">
        <f t="shared" si="6"/>
        <v>16.11</v>
      </c>
      <c r="U26" s="139">
        <f t="shared" si="2"/>
        <v>1619.08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f>'[4]December 2021'!H27</f>
        <v>5548.0750000000016</v>
      </c>
      <c r="D27" s="139">
        <v>9.2100000000000009</v>
      </c>
      <c r="E27" s="139">
        <f>'[4]December 2021'!E27+'[4]January 2022'!D27</f>
        <v>103.14500000000001</v>
      </c>
      <c r="F27" s="139">
        <v>0</v>
      </c>
      <c r="G27" s="139">
        <f>'[4]December 2021'!G27+'[4]January 2022'!F27</f>
        <v>0</v>
      </c>
      <c r="H27" s="139">
        <f t="shared" si="4"/>
        <v>5557.2850000000017</v>
      </c>
      <c r="I27" s="139">
        <f>'[4]December 2021'!N27</f>
        <v>578.32799999999997</v>
      </c>
      <c r="J27" s="139">
        <f>2.61+1.67</f>
        <v>4.2799999999999994</v>
      </c>
      <c r="K27" s="139">
        <f>'[4]December 2021'!K27+'[4]January 2022'!J27</f>
        <v>26.61</v>
      </c>
      <c r="L27" s="139">
        <v>0</v>
      </c>
      <c r="M27" s="139">
        <f>'[4]December 2021'!M27+'[4]January 2022'!L27</f>
        <v>0</v>
      </c>
      <c r="N27" s="139">
        <f t="shared" si="5"/>
        <v>582.60799999999995</v>
      </c>
      <c r="O27" s="139">
        <f>'[4]December 2021'!T27</f>
        <v>33.49</v>
      </c>
      <c r="P27" s="139">
        <v>0</v>
      </c>
      <c r="Q27" s="139">
        <f>'[4]December 2021'!Q27+'[4]January 2022'!P27</f>
        <v>0</v>
      </c>
      <c r="R27" s="139">
        <v>0</v>
      </c>
      <c r="S27" s="139">
        <f>'[4]December 2021'!S27+'[4]January 2022'!R27</f>
        <v>0</v>
      </c>
      <c r="T27" s="139">
        <f t="shared" si="6"/>
        <v>33.49</v>
      </c>
      <c r="U27" s="139">
        <f t="shared" si="2"/>
        <v>6173.3830000000016</v>
      </c>
    </row>
    <row r="28" spans="1:21" s="111" customFormat="1" ht="38.25" customHeight="1" x14ac:dyDescent="0.4">
      <c r="A28" s="313" t="s">
        <v>98</v>
      </c>
      <c r="B28" s="313"/>
      <c r="C28" s="141">
        <f>SUM(C26:C27)</f>
        <v>7081.465000000002</v>
      </c>
      <c r="D28" s="141">
        <f t="shared" ref="D28:T28" si="10">SUM(D26:D27)</f>
        <v>13.72</v>
      </c>
      <c r="E28" s="141">
        <f t="shared" si="10"/>
        <v>190.51500000000001</v>
      </c>
      <c r="F28" s="141">
        <f t="shared" si="10"/>
        <v>0</v>
      </c>
      <c r="G28" s="141">
        <f t="shared" si="10"/>
        <v>0</v>
      </c>
      <c r="H28" s="141">
        <f t="shared" si="10"/>
        <v>7095.1850000000013</v>
      </c>
      <c r="I28" s="141">
        <f t="shared" si="10"/>
        <v>642.298</v>
      </c>
      <c r="J28" s="141">
        <f t="shared" si="10"/>
        <v>5.379999999999999</v>
      </c>
      <c r="K28" s="141">
        <f t="shared" si="10"/>
        <v>32.629999999999995</v>
      </c>
      <c r="L28" s="141">
        <f t="shared" si="10"/>
        <v>0</v>
      </c>
      <c r="M28" s="141">
        <f t="shared" si="10"/>
        <v>0</v>
      </c>
      <c r="N28" s="141">
        <f t="shared" si="10"/>
        <v>647.678</v>
      </c>
      <c r="O28" s="141">
        <f t="shared" si="10"/>
        <v>49.6</v>
      </c>
      <c r="P28" s="141">
        <f t="shared" si="10"/>
        <v>0</v>
      </c>
      <c r="Q28" s="141">
        <f t="shared" si="10"/>
        <v>2.62</v>
      </c>
      <c r="R28" s="141">
        <f t="shared" si="10"/>
        <v>0</v>
      </c>
      <c r="S28" s="141">
        <f t="shared" si="10"/>
        <v>0</v>
      </c>
      <c r="T28" s="141">
        <f t="shared" si="10"/>
        <v>49.6</v>
      </c>
      <c r="U28" s="141">
        <f t="shared" si="2"/>
        <v>7792.4630000000016</v>
      </c>
    </row>
    <row r="29" spans="1:21" ht="38.25" customHeight="1" x14ac:dyDescent="0.35">
      <c r="A29" s="171">
        <v>17</v>
      </c>
      <c r="B29" s="172" t="s">
        <v>99</v>
      </c>
      <c r="C29" s="139">
        <f>'[4]December 2021'!H29</f>
        <v>4447.3280000000004</v>
      </c>
      <c r="D29" s="139">
        <v>2.52</v>
      </c>
      <c r="E29" s="139">
        <f>'[4]December 2021'!E29+'[4]January 2022'!D29</f>
        <v>38.641000000000012</v>
      </c>
      <c r="F29" s="139">
        <v>0</v>
      </c>
      <c r="G29" s="139">
        <f>'[4]December 2021'!G29+'[4]January 2022'!F29</f>
        <v>0</v>
      </c>
      <c r="H29" s="139">
        <f t="shared" si="4"/>
        <v>4449.8480000000009</v>
      </c>
      <c r="I29" s="139">
        <f>'[4]December 2021'!N29</f>
        <v>128.51</v>
      </c>
      <c r="J29" s="139">
        <f>0.03+7.49</f>
        <v>7.5200000000000005</v>
      </c>
      <c r="K29" s="139">
        <f>'[4]December 2021'!K29+'[4]January 2022'!J29</f>
        <v>39.370000000000005</v>
      </c>
      <c r="L29" s="139">
        <v>0</v>
      </c>
      <c r="M29" s="139">
        <f>'[4]December 2021'!M29+'[4]January 2022'!L29</f>
        <v>0</v>
      </c>
      <c r="N29" s="139">
        <f t="shared" si="5"/>
        <v>136.03</v>
      </c>
      <c r="O29" s="139">
        <f>'[4]December 2021'!T29</f>
        <v>57.720000000000006</v>
      </c>
      <c r="P29" s="139">
        <v>0</v>
      </c>
      <c r="Q29" s="139">
        <f>'[4]December 2021'!Q29+'[4]January 2022'!P29</f>
        <v>0</v>
      </c>
      <c r="R29" s="139">
        <v>0</v>
      </c>
      <c r="S29" s="139">
        <f>'[4]December 2021'!S29+'[4]January 2022'!R29</f>
        <v>0</v>
      </c>
      <c r="T29" s="139">
        <f t="shared" si="6"/>
        <v>57.720000000000006</v>
      </c>
      <c r="U29" s="139">
        <f t="shared" si="2"/>
        <v>4643.5980000000009</v>
      </c>
    </row>
    <row r="30" spans="1:21" ht="38.25" customHeight="1" x14ac:dyDescent="0.35">
      <c r="A30" s="171">
        <v>18</v>
      </c>
      <c r="B30" s="172" t="s">
        <v>100</v>
      </c>
      <c r="C30" s="139">
        <f>'[4]December 2021'!H30</f>
        <v>3556.7799999999997</v>
      </c>
      <c r="D30" s="139">
        <v>3.33</v>
      </c>
      <c r="E30" s="139">
        <f>'[4]December 2021'!E30+'[4]January 2022'!D30</f>
        <v>101.539</v>
      </c>
      <c r="F30" s="139">
        <v>0</v>
      </c>
      <c r="G30" s="139">
        <f>'[4]December 2021'!G30+'[4]January 2022'!F30</f>
        <v>0</v>
      </c>
      <c r="H30" s="139">
        <f t="shared" si="4"/>
        <v>3560.1099999999997</v>
      </c>
      <c r="I30" s="139">
        <f>'[4]December 2021'!N30</f>
        <v>26.696999999999999</v>
      </c>
      <c r="J30" s="139">
        <f>5</f>
        <v>5</v>
      </c>
      <c r="K30" s="139">
        <f>'[4]December 2021'!K30+'[4]January 2022'!J30</f>
        <v>10.199999999999999</v>
      </c>
      <c r="L30" s="139">
        <v>0</v>
      </c>
      <c r="M30" s="139">
        <f>'[4]December 2021'!M30+'[4]January 2022'!L30</f>
        <v>0</v>
      </c>
      <c r="N30" s="139">
        <f t="shared" si="5"/>
        <v>31.696999999999999</v>
      </c>
      <c r="O30" s="139">
        <f>'[4]December 2021'!T30</f>
        <v>23.25</v>
      </c>
      <c r="P30" s="139">
        <v>0</v>
      </c>
      <c r="Q30" s="139">
        <f>'[4]December 2021'!Q30+'[4]January 2022'!P30</f>
        <v>0</v>
      </c>
      <c r="R30" s="139">
        <v>0</v>
      </c>
      <c r="S30" s="139">
        <f>'[4]December 2021'!S30+'[4]January 2022'!R30</f>
        <v>0</v>
      </c>
      <c r="T30" s="139">
        <f t="shared" si="6"/>
        <v>23.25</v>
      </c>
      <c r="U30" s="139">
        <f t="shared" si="2"/>
        <v>3615.0569999999998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f>'[4]December 2021'!H31</f>
        <v>4587.3190000000004</v>
      </c>
      <c r="D31" s="139">
        <v>1.54</v>
      </c>
      <c r="E31" s="139">
        <f>'[4]December 2021'!E31+'[4]January 2022'!D31</f>
        <v>111.958</v>
      </c>
      <c r="F31" s="139">
        <v>0</v>
      </c>
      <c r="G31" s="139">
        <f>'[4]December 2021'!G31+'[4]January 2022'!F31</f>
        <v>0</v>
      </c>
      <c r="H31" s="139">
        <f t="shared" si="4"/>
        <v>4588.8590000000004</v>
      </c>
      <c r="I31" s="139">
        <f>'[4]December 2021'!N31</f>
        <v>86.710000000000022</v>
      </c>
      <c r="J31" s="139">
        <v>0</v>
      </c>
      <c r="K31" s="139">
        <f>'[4]December 2021'!K31+'[4]January 2022'!J31</f>
        <v>0.28000000000000003</v>
      </c>
      <c r="L31" s="139">
        <v>0</v>
      </c>
      <c r="M31" s="139">
        <f>'[4]December 2021'!M31+'[4]January 2022'!L31</f>
        <v>0</v>
      </c>
      <c r="N31" s="139">
        <f t="shared" si="5"/>
        <v>86.710000000000022</v>
      </c>
      <c r="O31" s="139">
        <f>'[4]December 2021'!T31</f>
        <v>14.850000000000001</v>
      </c>
      <c r="P31" s="139">
        <v>0</v>
      </c>
      <c r="Q31" s="139">
        <f>'[4]December 2021'!Q31+'[4]January 2022'!P31</f>
        <v>0</v>
      </c>
      <c r="R31" s="139">
        <v>0</v>
      </c>
      <c r="S31" s="139">
        <f>'[4]December 2021'!S31+'[4]January 2022'!R31</f>
        <v>0</v>
      </c>
      <c r="T31" s="139">
        <f t="shared" si="6"/>
        <v>14.850000000000001</v>
      </c>
      <c r="U31" s="139">
        <f t="shared" si="2"/>
        <v>4690.4190000000008</v>
      </c>
    </row>
    <row r="32" spans="1:21" ht="38.25" customHeight="1" x14ac:dyDescent="0.35">
      <c r="A32" s="171">
        <v>20</v>
      </c>
      <c r="B32" s="172" t="s">
        <v>102</v>
      </c>
      <c r="C32" s="139">
        <f>'[4]December 2021'!H32</f>
        <v>2320.5857999999998</v>
      </c>
      <c r="D32" s="139">
        <v>2.87</v>
      </c>
      <c r="E32" s="139">
        <f>'[4]December 2021'!E32+'[4]January 2022'!D32</f>
        <v>27.620000000000005</v>
      </c>
      <c r="F32" s="139">
        <v>0</v>
      </c>
      <c r="G32" s="139">
        <f>'[4]December 2021'!G32+'[4]January 2022'!F32</f>
        <v>0</v>
      </c>
      <c r="H32" s="139">
        <f t="shared" si="4"/>
        <v>2323.4557999999997</v>
      </c>
      <c r="I32" s="139">
        <f>'[4]December 2021'!N32</f>
        <v>359.036</v>
      </c>
      <c r="J32" s="139">
        <f>0.28+10</f>
        <v>10.28</v>
      </c>
      <c r="K32" s="139">
        <f>'[4]December 2021'!K32+'[4]January 2022'!J32</f>
        <v>26.454999999999998</v>
      </c>
      <c r="L32" s="139">
        <v>0</v>
      </c>
      <c r="M32" s="139">
        <f>'[4]December 2021'!M32+'[4]January 2022'!L32</f>
        <v>0</v>
      </c>
      <c r="N32" s="139">
        <f t="shared" si="5"/>
        <v>369.31599999999997</v>
      </c>
      <c r="O32" s="139">
        <f>'[4]December 2021'!T32</f>
        <v>67.551999999999992</v>
      </c>
      <c r="P32" s="139">
        <v>0</v>
      </c>
      <c r="Q32" s="139">
        <f>'[4]December 2021'!Q32+'[4]January 2022'!P32</f>
        <v>7.0000000000000001E-3</v>
      </c>
      <c r="R32" s="139">
        <v>0</v>
      </c>
      <c r="S32" s="139">
        <f>'[4]December 2021'!S32+'[4]January 2022'!R32</f>
        <v>0</v>
      </c>
      <c r="T32" s="139">
        <f t="shared" si="6"/>
        <v>67.551999999999992</v>
      </c>
      <c r="U32" s="139">
        <f t="shared" si="2"/>
        <v>2760.3237999999997</v>
      </c>
    </row>
    <row r="33" spans="1:21" s="111" customFormat="1" ht="38.25" customHeight="1" x14ac:dyDescent="0.4">
      <c r="A33" s="313" t="s">
        <v>99</v>
      </c>
      <c r="B33" s="313"/>
      <c r="C33" s="141">
        <f>SUM(C29:C32)</f>
        <v>14912.0128</v>
      </c>
      <c r="D33" s="141">
        <f t="shared" ref="D33:T33" si="11">SUM(D29:D32)</f>
        <v>10.26</v>
      </c>
      <c r="E33" s="141">
        <f t="shared" si="11"/>
        <v>279.75800000000004</v>
      </c>
      <c r="F33" s="141">
        <f t="shared" si="11"/>
        <v>0</v>
      </c>
      <c r="G33" s="141">
        <f t="shared" si="11"/>
        <v>0</v>
      </c>
      <c r="H33" s="141">
        <f t="shared" si="11"/>
        <v>14922.272800000001</v>
      </c>
      <c r="I33" s="141">
        <f t="shared" si="11"/>
        <v>600.95299999999997</v>
      </c>
      <c r="J33" s="141">
        <f t="shared" si="11"/>
        <v>22.799999999999997</v>
      </c>
      <c r="K33" s="141">
        <f t="shared" si="11"/>
        <v>76.305000000000007</v>
      </c>
      <c r="L33" s="141">
        <f t="shared" si="11"/>
        <v>0</v>
      </c>
      <c r="M33" s="141">
        <f t="shared" si="11"/>
        <v>0</v>
      </c>
      <c r="N33" s="141">
        <f t="shared" si="11"/>
        <v>623.75299999999993</v>
      </c>
      <c r="O33" s="141">
        <f t="shared" si="11"/>
        <v>163.37199999999999</v>
      </c>
      <c r="P33" s="141">
        <f t="shared" si="11"/>
        <v>0</v>
      </c>
      <c r="Q33" s="141">
        <f t="shared" si="11"/>
        <v>7.0000000000000001E-3</v>
      </c>
      <c r="R33" s="141">
        <f t="shared" si="11"/>
        <v>0</v>
      </c>
      <c r="S33" s="141">
        <f t="shared" si="11"/>
        <v>0</v>
      </c>
      <c r="T33" s="141">
        <f t="shared" si="11"/>
        <v>163.37199999999999</v>
      </c>
      <c r="U33" s="141">
        <f t="shared" si="2"/>
        <v>15709.397800000001</v>
      </c>
    </row>
    <row r="34" spans="1:21" ht="38.25" customHeight="1" x14ac:dyDescent="0.35">
      <c r="A34" s="171">
        <v>21</v>
      </c>
      <c r="B34" s="172" t="s">
        <v>103</v>
      </c>
      <c r="C34" s="139">
        <f>'[4]December 2021'!H34</f>
        <v>4417.4900000000007</v>
      </c>
      <c r="D34" s="139">
        <v>4.95</v>
      </c>
      <c r="E34" s="139">
        <f>'[4]December 2021'!E34+'[4]January 2022'!D34</f>
        <v>50.15</v>
      </c>
      <c r="F34" s="139">
        <v>0</v>
      </c>
      <c r="G34" s="139">
        <f>'[4]December 2021'!G34+'[4]January 2022'!F34</f>
        <v>0</v>
      </c>
      <c r="H34" s="139">
        <f t="shared" si="4"/>
        <v>4422.4400000000005</v>
      </c>
      <c r="I34" s="139">
        <f>'[4]December 2021'!N34</f>
        <v>0</v>
      </c>
      <c r="J34" s="139">
        <v>0</v>
      </c>
      <c r="K34" s="139">
        <f>'[4]December 2021'!K34+'[4]January 2022'!J34</f>
        <v>0</v>
      </c>
      <c r="L34" s="139">
        <v>0</v>
      </c>
      <c r="M34" s="139">
        <f>'[4]December 2021'!M34+'[4]January 2022'!L34</f>
        <v>0</v>
      </c>
      <c r="N34" s="139">
        <f t="shared" si="5"/>
        <v>0</v>
      </c>
      <c r="O34" s="139">
        <f>'[4]December 2021'!T34</f>
        <v>0</v>
      </c>
      <c r="P34" s="139">
        <v>0</v>
      </c>
      <c r="Q34" s="139">
        <f>'[4]December 2021'!Q34+'[4]January 2022'!P34</f>
        <v>0</v>
      </c>
      <c r="R34" s="139">
        <v>0</v>
      </c>
      <c r="S34" s="139">
        <f>'[4]December 2021'!S34+'[4]January 2022'!R34</f>
        <v>0</v>
      </c>
      <c r="T34" s="139">
        <f t="shared" si="6"/>
        <v>0</v>
      </c>
      <c r="U34" s="139">
        <f t="shared" si="2"/>
        <v>4422.4400000000005</v>
      </c>
    </row>
    <row r="35" spans="1:21" ht="38.25" customHeight="1" x14ac:dyDescent="0.35">
      <c r="A35" s="171">
        <v>22</v>
      </c>
      <c r="B35" s="172" t="s">
        <v>104</v>
      </c>
      <c r="C35" s="139">
        <f>'[4]December 2021'!H35</f>
        <v>6029.1799999999976</v>
      </c>
      <c r="D35" s="139">
        <v>35.11</v>
      </c>
      <c r="E35" s="139">
        <f>'[4]December 2021'!E35+'[4]January 2022'!D35</f>
        <v>177.67000000000002</v>
      </c>
      <c r="F35" s="139">
        <v>0</v>
      </c>
      <c r="G35" s="139">
        <f>'[4]December 2021'!G35+'[4]January 2022'!F35</f>
        <v>0</v>
      </c>
      <c r="H35" s="139">
        <f t="shared" si="4"/>
        <v>6064.2899999999972</v>
      </c>
      <c r="I35" s="139">
        <f>'[4]December 2021'!N35</f>
        <v>6.92</v>
      </c>
      <c r="J35" s="139">
        <v>0</v>
      </c>
      <c r="K35" s="139">
        <f>'[4]December 2021'!K35+'[4]January 2022'!J35</f>
        <v>2.92</v>
      </c>
      <c r="L35" s="139">
        <v>0</v>
      </c>
      <c r="M35" s="139">
        <f>'[4]December 2021'!M35+'[4]January 2022'!L35</f>
        <v>0</v>
      </c>
      <c r="N35" s="139">
        <f t="shared" si="5"/>
        <v>6.92</v>
      </c>
      <c r="O35" s="139">
        <f>'[4]December 2021'!T35</f>
        <v>49.160000000000004</v>
      </c>
      <c r="P35" s="139">
        <f>4.63</f>
        <v>4.63</v>
      </c>
      <c r="Q35" s="139">
        <f>'[4]December 2021'!Q35+'[4]January 2022'!P35</f>
        <v>9.26</v>
      </c>
      <c r="R35" s="139">
        <v>0</v>
      </c>
      <c r="S35" s="139">
        <f>'[4]December 2021'!S35+'[4]January 2022'!R35</f>
        <v>0</v>
      </c>
      <c r="T35" s="139">
        <f t="shared" si="6"/>
        <v>53.790000000000006</v>
      </c>
      <c r="U35" s="139">
        <f t="shared" si="2"/>
        <v>6124.9999999999973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f>'[4]December 2021'!H36</f>
        <v>3375.8999999999996</v>
      </c>
      <c r="D36" s="139">
        <v>16.82</v>
      </c>
      <c r="E36" s="139">
        <f>'[4]December 2021'!E36+'[4]January 2022'!D36</f>
        <v>63.48</v>
      </c>
      <c r="F36" s="139">
        <v>0</v>
      </c>
      <c r="G36" s="139">
        <f>'[4]December 2021'!G36+'[4]January 2022'!F36</f>
        <v>0</v>
      </c>
      <c r="H36" s="139">
        <f t="shared" si="4"/>
        <v>3392.72</v>
      </c>
      <c r="I36" s="139">
        <f>'[4]December 2021'!N36</f>
        <v>25.05000000000004</v>
      </c>
      <c r="J36" s="139">
        <f>4.63</f>
        <v>4.63</v>
      </c>
      <c r="K36" s="139">
        <f>'[4]December 2021'!K36+'[4]January 2022'!J36</f>
        <v>4.63</v>
      </c>
      <c r="L36" s="139">
        <v>0</v>
      </c>
      <c r="M36" s="139">
        <f>'[4]December 2021'!M36+'[4]January 2022'!L36</f>
        <v>0</v>
      </c>
      <c r="N36" s="139">
        <f t="shared" si="5"/>
        <v>29.680000000000039</v>
      </c>
      <c r="O36" s="139">
        <f>'[4]December 2021'!T36</f>
        <v>5.62</v>
      </c>
      <c r="P36" s="139">
        <f>3.42</f>
        <v>3.42</v>
      </c>
      <c r="Q36" s="139">
        <f>'[4]December 2021'!Q36+'[4]January 2022'!P36</f>
        <v>6.84</v>
      </c>
      <c r="R36" s="139">
        <v>0</v>
      </c>
      <c r="S36" s="139">
        <f>'[4]December 2021'!S36+'[4]January 2022'!R36</f>
        <v>0</v>
      </c>
      <c r="T36" s="139">
        <f t="shared" si="6"/>
        <v>9.0399999999999991</v>
      </c>
      <c r="U36" s="139">
        <f t="shared" si="2"/>
        <v>3431.44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f>'[4]December 2021'!H37</f>
        <v>4773.1199999999972</v>
      </c>
      <c r="D37" s="139">
        <v>4.0999999999999996</v>
      </c>
      <c r="E37" s="139">
        <f>'[4]December 2021'!E37+'[4]January 2022'!D37</f>
        <v>75.779999999999987</v>
      </c>
      <c r="F37" s="139">
        <v>0</v>
      </c>
      <c r="G37" s="139">
        <f>'[4]December 2021'!G37+'[4]January 2022'!F37</f>
        <v>0</v>
      </c>
      <c r="H37" s="139">
        <f t="shared" si="4"/>
        <v>4777.2199999999975</v>
      </c>
      <c r="I37" s="139">
        <f>'[4]December 2021'!N37</f>
        <v>12.430000000000001</v>
      </c>
      <c r="J37" s="139">
        <v>1.06</v>
      </c>
      <c r="K37" s="139">
        <f>'[4]December 2021'!K37+'[4]January 2022'!J37</f>
        <v>13.49</v>
      </c>
      <c r="L37" s="139">
        <v>0</v>
      </c>
      <c r="M37" s="139">
        <f>'[4]December 2021'!M37+'[4]January 2022'!L37</f>
        <v>0</v>
      </c>
      <c r="N37" s="139">
        <f t="shared" si="5"/>
        <v>13.490000000000002</v>
      </c>
      <c r="O37" s="139">
        <f>'[4]December 2021'!T37</f>
        <v>2.04</v>
      </c>
      <c r="P37" s="139">
        <v>1.06</v>
      </c>
      <c r="Q37" s="139">
        <f>'[4]December 2021'!Q37+'[4]January 2022'!P37</f>
        <v>2.06</v>
      </c>
      <c r="R37" s="139">
        <v>0</v>
      </c>
      <c r="S37" s="139">
        <f>'[4]December 2021'!S37+'[4]January 2022'!R37</f>
        <v>0</v>
      </c>
      <c r="T37" s="139">
        <f t="shared" si="6"/>
        <v>3.1</v>
      </c>
      <c r="U37" s="139">
        <f t="shared" si="2"/>
        <v>4793.8099999999977</v>
      </c>
    </row>
    <row r="38" spans="1:21" s="111" customFormat="1" ht="38.25" customHeight="1" x14ac:dyDescent="0.4">
      <c r="A38" s="313" t="s">
        <v>107</v>
      </c>
      <c r="B38" s="313"/>
      <c r="C38" s="141">
        <f>SUM(C34:C37)</f>
        <v>18595.689999999995</v>
      </c>
      <c r="D38" s="141">
        <f t="shared" ref="D38:T38" si="12">SUM(D34:D37)</f>
        <v>60.980000000000004</v>
      </c>
      <c r="E38" s="141">
        <f t="shared" si="12"/>
        <v>367.08</v>
      </c>
      <c r="F38" s="141">
        <f t="shared" si="12"/>
        <v>0</v>
      </c>
      <c r="G38" s="141">
        <f t="shared" si="12"/>
        <v>0</v>
      </c>
      <c r="H38" s="141">
        <f t="shared" si="12"/>
        <v>18656.669999999995</v>
      </c>
      <c r="I38" s="141">
        <f t="shared" si="12"/>
        <v>44.400000000000041</v>
      </c>
      <c r="J38" s="141">
        <f t="shared" si="12"/>
        <v>5.6899999999999995</v>
      </c>
      <c r="K38" s="141">
        <f t="shared" si="12"/>
        <v>21.04</v>
      </c>
      <c r="L38" s="141">
        <f t="shared" si="12"/>
        <v>0</v>
      </c>
      <c r="M38" s="141">
        <f t="shared" si="12"/>
        <v>0</v>
      </c>
      <c r="N38" s="141">
        <f t="shared" si="12"/>
        <v>50.090000000000039</v>
      </c>
      <c r="O38" s="141">
        <f t="shared" si="12"/>
        <v>56.82</v>
      </c>
      <c r="P38" s="141">
        <f t="shared" si="12"/>
        <v>9.1100000000000012</v>
      </c>
      <c r="Q38" s="141">
        <f t="shared" si="12"/>
        <v>18.16</v>
      </c>
      <c r="R38" s="141">
        <f t="shared" si="12"/>
        <v>0</v>
      </c>
      <c r="S38" s="141">
        <f t="shared" si="12"/>
        <v>0</v>
      </c>
      <c r="T38" s="141">
        <f t="shared" si="12"/>
        <v>65.930000000000007</v>
      </c>
      <c r="U38" s="141">
        <f t="shared" si="2"/>
        <v>18772.689999999995</v>
      </c>
    </row>
    <row r="39" spans="1:21" s="145" customFormat="1" ht="38.25" customHeight="1" x14ac:dyDescent="0.4">
      <c r="A39" s="313" t="s">
        <v>108</v>
      </c>
      <c r="B39" s="313"/>
      <c r="C39" s="141">
        <f>C38+C33+C28</f>
        <v>40589.167800000003</v>
      </c>
      <c r="D39" s="141">
        <f t="shared" ref="D39:T39" si="13">D38+D33+D28</f>
        <v>84.960000000000008</v>
      </c>
      <c r="E39" s="141">
        <f t="shared" si="13"/>
        <v>837.35299999999995</v>
      </c>
      <c r="F39" s="141">
        <f t="shared" si="13"/>
        <v>0</v>
      </c>
      <c r="G39" s="141">
        <f t="shared" si="13"/>
        <v>0</v>
      </c>
      <c r="H39" s="141">
        <f t="shared" si="13"/>
        <v>40674.127800000002</v>
      </c>
      <c r="I39" s="141">
        <f t="shared" si="13"/>
        <v>1287.6510000000001</v>
      </c>
      <c r="J39" s="141">
        <f t="shared" si="13"/>
        <v>33.86999999999999</v>
      </c>
      <c r="K39" s="141">
        <f t="shared" si="13"/>
        <v>129.97499999999999</v>
      </c>
      <c r="L39" s="141">
        <f t="shared" si="13"/>
        <v>0</v>
      </c>
      <c r="M39" s="141">
        <f t="shared" si="13"/>
        <v>0</v>
      </c>
      <c r="N39" s="141">
        <f t="shared" si="13"/>
        <v>1321.521</v>
      </c>
      <c r="O39" s="141">
        <f t="shared" si="13"/>
        <v>269.79199999999997</v>
      </c>
      <c r="P39" s="141">
        <f t="shared" si="13"/>
        <v>9.1100000000000012</v>
      </c>
      <c r="Q39" s="141">
        <f t="shared" si="13"/>
        <v>20.787000000000003</v>
      </c>
      <c r="R39" s="141">
        <f t="shared" si="13"/>
        <v>0</v>
      </c>
      <c r="S39" s="141">
        <f t="shared" si="13"/>
        <v>0</v>
      </c>
      <c r="T39" s="141">
        <f t="shared" si="13"/>
        <v>278.90199999999999</v>
      </c>
      <c r="U39" s="141">
        <f t="shared" si="2"/>
        <v>42274.550800000005</v>
      </c>
    </row>
    <row r="40" spans="1:21" ht="38.25" customHeight="1" x14ac:dyDescent="0.35">
      <c r="A40" s="171">
        <v>25</v>
      </c>
      <c r="B40" s="172" t="s">
        <v>109</v>
      </c>
      <c r="C40" s="139">
        <f>'[4]December 2021'!H40</f>
        <v>11188.163999999999</v>
      </c>
      <c r="D40" s="139">
        <v>42.41</v>
      </c>
      <c r="E40" s="139">
        <f>'[4]December 2021'!E40+'[4]January 2022'!D40</f>
        <v>235.714</v>
      </c>
      <c r="F40" s="139">
        <v>0</v>
      </c>
      <c r="G40" s="139">
        <f>'[4]December 2021'!G40+'[4]January 2022'!F40</f>
        <v>0</v>
      </c>
      <c r="H40" s="139">
        <f t="shared" si="4"/>
        <v>11230.573999999999</v>
      </c>
      <c r="I40" s="139">
        <f>'[4]December 2021'!N40</f>
        <v>0</v>
      </c>
      <c r="J40" s="139">
        <v>0</v>
      </c>
      <c r="K40" s="139">
        <f>'[4]December 2021'!K40+'[4]January 2022'!J40</f>
        <v>0</v>
      </c>
      <c r="L40" s="139">
        <v>0</v>
      </c>
      <c r="M40" s="139">
        <f>'[4]December 2021'!M40+'[4]January 2022'!L40</f>
        <v>0</v>
      </c>
      <c r="N40" s="139">
        <f t="shared" si="5"/>
        <v>0</v>
      </c>
      <c r="O40" s="139">
        <f>'[4]December 2021'!T40</f>
        <v>0</v>
      </c>
      <c r="P40" s="139">
        <v>0</v>
      </c>
      <c r="Q40" s="139">
        <f>'[4]December 2021'!Q40+'[4]January 2022'!P40</f>
        <v>0</v>
      </c>
      <c r="R40" s="139">
        <v>0</v>
      </c>
      <c r="S40" s="139">
        <f>'[4]December 2021'!S40+'[4]January 2022'!R40</f>
        <v>0</v>
      </c>
      <c r="T40" s="139">
        <f t="shared" si="6"/>
        <v>0</v>
      </c>
      <c r="U40" s="139">
        <f t="shared" si="2"/>
        <v>11230.573999999999</v>
      </c>
    </row>
    <row r="41" spans="1:21" ht="38.25" customHeight="1" x14ac:dyDescent="0.35">
      <c r="A41" s="171">
        <v>26</v>
      </c>
      <c r="B41" s="172" t="s">
        <v>110</v>
      </c>
      <c r="C41" s="139">
        <f>'[4]December 2021'!H41</f>
        <v>7391.5169999999953</v>
      </c>
      <c r="D41" s="139">
        <v>24.61</v>
      </c>
      <c r="E41" s="139">
        <f>'[4]December 2021'!E41+'[4]January 2022'!D41</f>
        <v>344.44099999999997</v>
      </c>
      <c r="F41" s="139">
        <v>0</v>
      </c>
      <c r="G41" s="139">
        <f>'[4]December 2021'!G41+'[4]January 2022'!F41</f>
        <v>0</v>
      </c>
      <c r="H41" s="139">
        <f t="shared" si="4"/>
        <v>7416.126999999995</v>
      </c>
      <c r="I41" s="139">
        <f>'[4]December 2021'!N41</f>
        <v>0</v>
      </c>
      <c r="J41" s="139">
        <v>0</v>
      </c>
      <c r="K41" s="139">
        <f>'[4]December 2021'!K41+'[4]January 2022'!J41</f>
        <v>0</v>
      </c>
      <c r="L41" s="139">
        <v>0</v>
      </c>
      <c r="M41" s="139">
        <f>'[4]December 2021'!M41+'[4]January 2022'!L41</f>
        <v>0</v>
      </c>
      <c r="N41" s="139">
        <f t="shared" si="5"/>
        <v>0</v>
      </c>
      <c r="O41" s="139">
        <f>'[4]December 2021'!T41</f>
        <v>0</v>
      </c>
      <c r="P41" s="139">
        <v>0</v>
      </c>
      <c r="Q41" s="139">
        <f>'[4]December 2021'!Q41+'[4]January 2022'!P41</f>
        <v>0</v>
      </c>
      <c r="R41" s="139">
        <v>0</v>
      </c>
      <c r="S41" s="139">
        <f>'[4]December 2021'!S41+'[4]January 2022'!R41</f>
        <v>0</v>
      </c>
      <c r="T41" s="139">
        <f t="shared" si="6"/>
        <v>0</v>
      </c>
      <c r="U41" s="139">
        <f t="shared" si="2"/>
        <v>7416.126999999995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f>'[4]December 2021'!H42</f>
        <v>13715.448999999997</v>
      </c>
      <c r="D42" s="139">
        <v>33</v>
      </c>
      <c r="E42" s="139">
        <f>'[4]December 2021'!E42+'[4]January 2022'!D42</f>
        <v>234.333</v>
      </c>
      <c r="F42" s="139">
        <v>0</v>
      </c>
      <c r="G42" s="139">
        <f>'[4]December 2021'!G42+'[4]January 2022'!F42</f>
        <v>0</v>
      </c>
      <c r="H42" s="139">
        <f t="shared" si="4"/>
        <v>13748.448999999997</v>
      </c>
      <c r="I42" s="139">
        <f>'[4]December 2021'!N42</f>
        <v>0</v>
      </c>
      <c r="J42" s="139">
        <v>0</v>
      </c>
      <c r="K42" s="139">
        <f>'[4]December 2021'!K42+'[4]January 2022'!J42</f>
        <v>0</v>
      </c>
      <c r="L42" s="139">
        <v>0</v>
      </c>
      <c r="M42" s="139">
        <f>'[4]December 2021'!M42+'[4]January 2022'!L42</f>
        <v>0</v>
      </c>
      <c r="N42" s="139">
        <f t="shared" si="5"/>
        <v>0</v>
      </c>
      <c r="O42" s="139">
        <f>'[4]December 2021'!T42</f>
        <v>39.019999999999996</v>
      </c>
      <c r="P42" s="139">
        <v>0</v>
      </c>
      <c r="Q42" s="139">
        <f>'[4]December 2021'!Q42+'[4]January 2022'!P42</f>
        <v>5.67</v>
      </c>
      <c r="R42" s="139">
        <v>0</v>
      </c>
      <c r="S42" s="139">
        <f>'[4]December 2021'!S42+'[4]January 2022'!R42</f>
        <v>0</v>
      </c>
      <c r="T42" s="139">
        <f t="shared" si="6"/>
        <v>39.019999999999996</v>
      </c>
      <c r="U42" s="139">
        <f t="shared" si="2"/>
        <v>13787.468999999997</v>
      </c>
    </row>
    <row r="43" spans="1:21" ht="38.25" customHeight="1" x14ac:dyDescent="0.35">
      <c r="A43" s="171">
        <v>28</v>
      </c>
      <c r="B43" s="172" t="s">
        <v>112</v>
      </c>
      <c r="C43" s="139">
        <f>'[4]December 2021'!H43</f>
        <v>3949.2100000000009</v>
      </c>
      <c r="D43" s="139">
        <v>6.57</v>
      </c>
      <c r="E43" s="139">
        <f>'[4]December 2021'!E43+'[4]January 2022'!D43</f>
        <v>89.74199999999999</v>
      </c>
      <c r="F43" s="139">
        <v>0</v>
      </c>
      <c r="G43" s="139">
        <f>'[4]December 2021'!G43+'[4]January 2022'!F43</f>
        <v>0</v>
      </c>
      <c r="H43" s="139">
        <f t="shared" si="4"/>
        <v>3955.7800000000011</v>
      </c>
      <c r="I43" s="139">
        <f>'[4]December 2021'!N43</f>
        <v>0</v>
      </c>
      <c r="J43" s="139">
        <v>0</v>
      </c>
      <c r="K43" s="139">
        <f>'[4]December 2021'!K43+'[4]January 2022'!J43</f>
        <v>0</v>
      </c>
      <c r="L43" s="139">
        <v>0</v>
      </c>
      <c r="M43" s="139">
        <f>'[4]December 2021'!M43+'[4]January 2022'!L43</f>
        <v>0</v>
      </c>
      <c r="N43" s="139">
        <f t="shared" si="5"/>
        <v>0</v>
      </c>
      <c r="O43" s="139">
        <f>'[4]December 2021'!T43</f>
        <v>0</v>
      </c>
      <c r="P43" s="139">
        <v>0</v>
      </c>
      <c r="Q43" s="139">
        <f>'[4]December 2021'!Q43+'[4]January 2022'!P43</f>
        <v>0</v>
      </c>
      <c r="R43" s="139">
        <v>0</v>
      </c>
      <c r="S43" s="139">
        <f>'[4]December 2021'!S43+'[4]January 2022'!R43</f>
        <v>0</v>
      </c>
      <c r="T43" s="139">
        <f t="shared" si="6"/>
        <v>0</v>
      </c>
      <c r="U43" s="139">
        <f t="shared" si="2"/>
        <v>3955.7800000000011</v>
      </c>
    </row>
    <row r="44" spans="1:21" s="111" customFormat="1" ht="38.25" customHeight="1" x14ac:dyDescent="0.4">
      <c r="A44" s="313" t="s">
        <v>109</v>
      </c>
      <c r="B44" s="313"/>
      <c r="C44" s="141">
        <f>SUM(C40:C43)</f>
        <v>36244.339999999989</v>
      </c>
      <c r="D44" s="141">
        <f t="shared" ref="D44:T44" si="14">SUM(D40:D43)</f>
        <v>106.59</v>
      </c>
      <c r="E44" s="141">
        <f t="shared" si="14"/>
        <v>904.2299999999999</v>
      </c>
      <c r="F44" s="141">
        <f t="shared" si="14"/>
        <v>0</v>
      </c>
      <c r="G44" s="141">
        <f t="shared" si="14"/>
        <v>0</v>
      </c>
      <c r="H44" s="141">
        <f t="shared" si="14"/>
        <v>36350.929999999993</v>
      </c>
      <c r="I44" s="141">
        <f t="shared" si="14"/>
        <v>0</v>
      </c>
      <c r="J44" s="141">
        <f t="shared" si="14"/>
        <v>0</v>
      </c>
      <c r="K44" s="141">
        <f t="shared" si="14"/>
        <v>0</v>
      </c>
      <c r="L44" s="141">
        <f t="shared" si="14"/>
        <v>0</v>
      </c>
      <c r="M44" s="141">
        <f t="shared" si="14"/>
        <v>0</v>
      </c>
      <c r="N44" s="141">
        <f t="shared" si="14"/>
        <v>0</v>
      </c>
      <c r="O44" s="141">
        <f t="shared" si="14"/>
        <v>39.019999999999996</v>
      </c>
      <c r="P44" s="141">
        <f t="shared" si="14"/>
        <v>0</v>
      </c>
      <c r="Q44" s="141">
        <f t="shared" si="14"/>
        <v>5.67</v>
      </c>
      <c r="R44" s="141">
        <f t="shared" si="14"/>
        <v>0</v>
      </c>
      <c r="S44" s="141">
        <f t="shared" si="14"/>
        <v>0</v>
      </c>
      <c r="T44" s="141">
        <f t="shared" si="14"/>
        <v>39.019999999999996</v>
      </c>
      <c r="U44" s="141">
        <f t="shared" si="2"/>
        <v>36389.94999999999</v>
      </c>
    </row>
    <row r="45" spans="1:21" ht="38.25" customHeight="1" x14ac:dyDescent="0.35">
      <c r="A45" s="171">
        <v>29</v>
      </c>
      <c r="B45" s="172" t="s">
        <v>113</v>
      </c>
      <c r="C45" s="139">
        <f>'[4]December 2021'!H45</f>
        <v>8332.4621000000025</v>
      </c>
      <c r="D45" s="139">
        <f>10.96+5.3</f>
        <v>16.260000000000002</v>
      </c>
      <c r="E45" s="139">
        <f>'[4]December 2021'!E45+'[4]January 2022'!D45</f>
        <v>266.74</v>
      </c>
      <c r="F45" s="139">
        <v>0</v>
      </c>
      <c r="G45" s="139">
        <f>'[4]December 2021'!G45+'[4]January 2022'!F45</f>
        <v>6.46</v>
      </c>
      <c r="H45" s="139">
        <f t="shared" si="4"/>
        <v>8348.7221000000027</v>
      </c>
      <c r="I45" s="139">
        <f>'[4]December 2021'!N45</f>
        <v>8.66</v>
      </c>
      <c r="J45" s="139">
        <f>0.03+2.65</f>
        <v>2.6799999999999997</v>
      </c>
      <c r="K45" s="139">
        <f>'[4]December 2021'!K45+'[4]January 2022'!J45</f>
        <v>5.76</v>
      </c>
      <c r="L45" s="139">
        <v>0</v>
      </c>
      <c r="M45" s="139">
        <f>'[4]December 2021'!M45+'[4]January 2022'!L45</f>
        <v>0</v>
      </c>
      <c r="N45" s="139">
        <f t="shared" si="5"/>
        <v>11.34</v>
      </c>
      <c r="O45" s="139">
        <f>'[4]December 2021'!T45</f>
        <v>14.75</v>
      </c>
      <c r="P45" s="139">
        <v>0</v>
      </c>
      <c r="Q45" s="139">
        <f>'[4]December 2021'!Q45+'[4]January 2022'!P45</f>
        <v>0.32</v>
      </c>
      <c r="R45" s="139">
        <v>0</v>
      </c>
      <c r="S45" s="139">
        <f>'[4]December 2021'!S45+'[4]January 2022'!R45</f>
        <v>0</v>
      </c>
      <c r="T45" s="139">
        <f t="shared" si="6"/>
        <v>14.75</v>
      </c>
      <c r="U45" s="139">
        <f t="shared" si="2"/>
        <v>8374.8121000000028</v>
      </c>
    </row>
    <row r="46" spans="1:21" ht="38.25" customHeight="1" x14ac:dyDescent="0.35">
      <c r="A46" s="171">
        <v>30</v>
      </c>
      <c r="B46" s="172" t="s">
        <v>114</v>
      </c>
      <c r="C46" s="139">
        <f>'[4]December 2021'!H46</f>
        <v>7662.0050000000019</v>
      </c>
      <c r="D46" s="139">
        <v>16.899999999999999</v>
      </c>
      <c r="E46" s="139">
        <f>'[4]December 2021'!E46+'[4]January 2022'!D46</f>
        <v>180.98</v>
      </c>
      <c r="F46" s="139">
        <v>0</v>
      </c>
      <c r="G46" s="139">
        <f>'[4]December 2021'!G46+'[4]January 2022'!F46</f>
        <v>0</v>
      </c>
      <c r="H46" s="139">
        <f t="shared" si="4"/>
        <v>7678.9050000000016</v>
      </c>
      <c r="I46" s="139">
        <f>'[4]December 2021'!N46</f>
        <v>0</v>
      </c>
      <c r="J46" s="139">
        <v>0</v>
      </c>
      <c r="K46" s="139">
        <f>'[4]December 2021'!K46+'[4]January 2022'!J46</f>
        <v>0</v>
      </c>
      <c r="L46" s="139">
        <v>0</v>
      </c>
      <c r="M46" s="139">
        <f>'[4]December 2021'!M46+'[4]January 2022'!L46</f>
        <v>0</v>
      </c>
      <c r="N46" s="139">
        <f t="shared" si="5"/>
        <v>0</v>
      </c>
      <c r="O46" s="139">
        <f>'[4]December 2021'!T46</f>
        <v>0</v>
      </c>
      <c r="P46" s="139">
        <v>0</v>
      </c>
      <c r="Q46" s="139">
        <f>'[4]December 2021'!Q46+'[4]January 2022'!P46</f>
        <v>0</v>
      </c>
      <c r="R46" s="139">
        <v>0</v>
      </c>
      <c r="S46" s="139">
        <f>'[4]December 2021'!S46+'[4]January 2022'!R46</f>
        <v>0</v>
      </c>
      <c r="T46" s="139">
        <f t="shared" si="6"/>
        <v>0</v>
      </c>
      <c r="U46" s="139">
        <f t="shared" si="2"/>
        <v>7678.9050000000016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f>'[4]December 2021'!H47</f>
        <v>8660.35</v>
      </c>
      <c r="D47" s="139">
        <f>39.24+2.04</f>
        <v>41.28</v>
      </c>
      <c r="E47" s="139">
        <f>'[4]December 2021'!E47+'[4]January 2022'!D47</f>
        <v>282.39999999999998</v>
      </c>
      <c r="F47" s="139">
        <v>0</v>
      </c>
      <c r="G47" s="139">
        <f>'[4]December 2021'!G47+'[4]January 2022'!F47</f>
        <v>0</v>
      </c>
      <c r="H47" s="139">
        <f t="shared" si="4"/>
        <v>8701.630000000001</v>
      </c>
      <c r="I47" s="139">
        <f>'[4]December 2021'!N47</f>
        <v>3.13</v>
      </c>
      <c r="J47" s="139">
        <v>0</v>
      </c>
      <c r="K47" s="139">
        <f>'[4]December 2021'!K47+'[4]January 2022'!J47</f>
        <v>0</v>
      </c>
      <c r="L47" s="139">
        <v>0</v>
      </c>
      <c r="M47" s="139">
        <f>'[4]December 2021'!M47+'[4]January 2022'!L47</f>
        <v>0</v>
      </c>
      <c r="N47" s="139">
        <f t="shared" si="5"/>
        <v>3.13</v>
      </c>
      <c r="O47" s="139">
        <f>'[4]December 2021'!T47</f>
        <v>0.03</v>
      </c>
      <c r="P47" s="139">
        <v>0</v>
      </c>
      <c r="Q47" s="139">
        <f>'[4]December 2021'!Q47+'[4]January 2022'!P47</f>
        <v>0</v>
      </c>
      <c r="R47" s="139">
        <v>0</v>
      </c>
      <c r="S47" s="139">
        <f>'[4]December 2021'!S47+'[4]January 2022'!R47</f>
        <v>0</v>
      </c>
      <c r="T47" s="139">
        <f t="shared" si="6"/>
        <v>0.03</v>
      </c>
      <c r="U47" s="139">
        <f t="shared" si="2"/>
        <v>8704.7900000000009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f>'[4]December 2021'!H48</f>
        <v>8109.0689999999995</v>
      </c>
      <c r="D48" s="139">
        <v>12.71</v>
      </c>
      <c r="E48" s="139">
        <f>'[4]December 2021'!E48+'[4]January 2022'!D48</f>
        <v>501.34899999999999</v>
      </c>
      <c r="F48" s="139">
        <v>0</v>
      </c>
      <c r="G48" s="139">
        <f>'[4]December 2021'!G48+'[4]January 2022'!F48</f>
        <v>0</v>
      </c>
      <c r="H48" s="139">
        <f t="shared" si="4"/>
        <v>8121.7789999999995</v>
      </c>
      <c r="I48" s="139">
        <f>'[4]December 2021'!N48</f>
        <v>1.6349999999999998</v>
      </c>
      <c r="J48" s="139">
        <f>1.13</f>
        <v>1.1299999999999999</v>
      </c>
      <c r="K48" s="139">
        <f>'[4]December 2021'!K48+'[4]January 2022'!J48</f>
        <v>2.2599999999999998</v>
      </c>
      <c r="L48" s="139">
        <v>0</v>
      </c>
      <c r="M48" s="139">
        <f>'[4]December 2021'!M48+'[4]January 2022'!L48</f>
        <v>0</v>
      </c>
      <c r="N48" s="139">
        <f t="shared" si="5"/>
        <v>2.7649999999999997</v>
      </c>
      <c r="O48" s="139">
        <f>'[4]December 2021'!T48</f>
        <v>0</v>
      </c>
      <c r="P48" s="139">
        <v>0</v>
      </c>
      <c r="Q48" s="139">
        <f>'[4]December 2021'!Q48+'[4]January 2022'!P48</f>
        <v>0</v>
      </c>
      <c r="R48" s="139">
        <v>0</v>
      </c>
      <c r="S48" s="139">
        <f>'[4]December 2021'!S48+'[4]January 2022'!R48</f>
        <v>0</v>
      </c>
      <c r="T48" s="139">
        <f t="shared" si="6"/>
        <v>0</v>
      </c>
      <c r="U48" s="139">
        <f t="shared" si="2"/>
        <v>8124.5439999999999</v>
      </c>
    </row>
    <row r="49" spans="1:21" s="111" customFormat="1" ht="38.25" customHeight="1" x14ac:dyDescent="0.4">
      <c r="A49" s="313" t="s">
        <v>117</v>
      </c>
      <c r="B49" s="313"/>
      <c r="C49" s="141">
        <f>SUM(C45:C48)</f>
        <v>32763.886100000007</v>
      </c>
      <c r="D49" s="141">
        <f t="shared" ref="D49:T49" si="15">SUM(D45:D48)</f>
        <v>87.15</v>
      </c>
      <c r="E49" s="141">
        <f t="shared" si="15"/>
        <v>1231.4690000000001</v>
      </c>
      <c r="F49" s="141">
        <f t="shared" si="15"/>
        <v>0</v>
      </c>
      <c r="G49" s="141">
        <f t="shared" si="15"/>
        <v>6.46</v>
      </c>
      <c r="H49" s="141">
        <f t="shared" si="15"/>
        <v>32851.036100000005</v>
      </c>
      <c r="I49" s="141">
        <f t="shared" si="15"/>
        <v>13.424999999999999</v>
      </c>
      <c r="J49" s="141">
        <f t="shared" si="15"/>
        <v>3.8099999999999996</v>
      </c>
      <c r="K49" s="141">
        <f t="shared" si="15"/>
        <v>8.02</v>
      </c>
      <c r="L49" s="141">
        <f t="shared" si="15"/>
        <v>0</v>
      </c>
      <c r="M49" s="141">
        <f t="shared" si="15"/>
        <v>0</v>
      </c>
      <c r="N49" s="141">
        <f t="shared" si="15"/>
        <v>17.234999999999999</v>
      </c>
      <c r="O49" s="141">
        <f t="shared" si="15"/>
        <v>14.78</v>
      </c>
      <c r="P49" s="141">
        <f t="shared" si="15"/>
        <v>0</v>
      </c>
      <c r="Q49" s="141">
        <f t="shared" si="15"/>
        <v>0.32</v>
      </c>
      <c r="R49" s="141">
        <f t="shared" si="15"/>
        <v>0</v>
      </c>
      <c r="S49" s="141">
        <f t="shared" si="15"/>
        <v>0</v>
      </c>
      <c r="T49" s="141">
        <f t="shared" si="15"/>
        <v>14.78</v>
      </c>
      <c r="U49" s="141">
        <f t="shared" si="2"/>
        <v>32883.051100000004</v>
      </c>
    </row>
    <row r="50" spans="1:21" s="145" customFormat="1" ht="38.25" customHeight="1" x14ac:dyDescent="0.4">
      <c r="A50" s="313" t="s">
        <v>118</v>
      </c>
      <c r="B50" s="313"/>
      <c r="C50" s="141">
        <f>C49+C44</f>
        <v>69008.2261</v>
      </c>
      <c r="D50" s="141">
        <f t="shared" ref="D50:U50" si="16">D49+D44</f>
        <v>193.74</v>
      </c>
      <c r="E50" s="141">
        <f t="shared" si="16"/>
        <v>2135.6990000000001</v>
      </c>
      <c r="F50" s="141">
        <f t="shared" si="16"/>
        <v>0</v>
      </c>
      <c r="G50" s="141">
        <f t="shared" si="16"/>
        <v>6.46</v>
      </c>
      <c r="H50" s="141">
        <f t="shared" si="16"/>
        <v>69201.966099999991</v>
      </c>
      <c r="I50" s="141">
        <f t="shared" si="16"/>
        <v>13.424999999999999</v>
      </c>
      <c r="J50" s="141">
        <f t="shared" si="16"/>
        <v>3.8099999999999996</v>
      </c>
      <c r="K50" s="141">
        <f t="shared" si="16"/>
        <v>8.02</v>
      </c>
      <c r="L50" s="141">
        <f t="shared" si="16"/>
        <v>0</v>
      </c>
      <c r="M50" s="141">
        <f t="shared" si="16"/>
        <v>0</v>
      </c>
      <c r="N50" s="141">
        <f t="shared" si="16"/>
        <v>17.234999999999999</v>
      </c>
      <c r="O50" s="141">
        <f t="shared" si="16"/>
        <v>53.8</v>
      </c>
      <c r="P50" s="141">
        <f t="shared" si="16"/>
        <v>0</v>
      </c>
      <c r="Q50" s="141">
        <f t="shared" si="16"/>
        <v>5.99</v>
      </c>
      <c r="R50" s="141">
        <f t="shared" si="16"/>
        <v>0</v>
      </c>
      <c r="S50" s="141">
        <f t="shared" si="16"/>
        <v>0</v>
      </c>
      <c r="T50" s="141">
        <f t="shared" si="16"/>
        <v>53.8</v>
      </c>
      <c r="U50" s="141">
        <f t="shared" si="16"/>
        <v>69273.001099999994</v>
      </c>
    </row>
    <row r="51" spans="1:21" s="146" customFormat="1" ht="38.25" customHeight="1" x14ac:dyDescent="0.4">
      <c r="A51" s="313" t="s">
        <v>119</v>
      </c>
      <c r="B51" s="313"/>
      <c r="C51" s="141">
        <f>C11+C15+C19+C24+C28+C33+C38+C44+C49</f>
        <v>114610.05989999999</v>
      </c>
      <c r="D51" s="141">
        <f t="shared" ref="D51:U51" si="17">D11+D15+D19+D24+D28+D33+D38+D44+D49</f>
        <v>279.74</v>
      </c>
      <c r="E51" s="141">
        <f t="shared" si="17"/>
        <v>2993.4319999999998</v>
      </c>
      <c r="F51" s="141">
        <f t="shared" si="17"/>
        <v>107.47999999999999</v>
      </c>
      <c r="G51" s="141">
        <f t="shared" si="17"/>
        <v>344.42799999999994</v>
      </c>
      <c r="H51" s="141">
        <f t="shared" si="17"/>
        <v>114782.3199</v>
      </c>
      <c r="I51" s="141">
        <f t="shared" si="17"/>
        <v>7765.9299999999994</v>
      </c>
      <c r="J51" s="141">
        <f t="shared" si="17"/>
        <v>110.74499999999999</v>
      </c>
      <c r="K51" s="141">
        <f t="shared" si="17"/>
        <v>971.73</v>
      </c>
      <c r="L51" s="141">
        <f t="shared" si="17"/>
        <v>0</v>
      </c>
      <c r="M51" s="141">
        <f t="shared" si="17"/>
        <v>19.510000000000002</v>
      </c>
      <c r="N51" s="141">
        <f t="shared" si="17"/>
        <v>7876.6750000000002</v>
      </c>
      <c r="O51" s="141">
        <f t="shared" si="17"/>
        <v>927.88400000000001</v>
      </c>
      <c r="P51" s="141">
        <f t="shared" si="17"/>
        <v>9.1100000000000012</v>
      </c>
      <c r="Q51" s="141">
        <f t="shared" si="17"/>
        <v>32.067</v>
      </c>
      <c r="R51" s="141">
        <f t="shared" si="17"/>
        <v>0</v>
      </c>
      <c r="S51" s="141">
        <f t="shared" si="17"/>
        <v>19.785000000000004</v>
      </c>
      <c r="T51" s="141">
        <f t="shared" si="17"/>
        <v>936.99399999999991</v>
      </c>
      <c r="U51" s="141">
        <f t="shared" si="17"/>
        <v>123595.9889</v>
      </c>
    </row>
    <row r="52" spans="1:21" s="111" customFormat="1" ht="24" customHeight="1" x14ac:dyDescent="0.4">
      <c r="A52" s="115"/>
      <c r="B52" s="115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</row>
    <row r="53" spans="1:21" s="111" customFormat="1" ht="19.5" customHeight="1" x14ac:dyDescent="0.4">
      <c r="A53" s="115"/>
      <c r="B53" s="115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</row>
    <row r="54" spans="1:21" s="115" customFormat="1" ht="24.75" hidden="1" customHeight="1" x14ac:dyDescent="0.4">
      <c r="B54" s="213"/>
      <c r="C54" s="278" t="s">
        <v>54</v>
      </c>
      <c r="D54" s="278"/>
      <c r="E54" s="278"/>
      <c r="F54" s="278"/>
      <c r="G54" s="278"/>
      <c r="H54" s="118"/>
      <c r="I54" s="213"/>
      <c r="J54" s="213">
        <f>D51+J51+P51-F51-L51-R51</f>
        <v>292.11500000000001</v>
      </c>
      <c r="K54" s="213"/>
      <c r="L54" s="213"/>
      <c r="M54" s="213"/>
      <c r="N54" s="213"/>
      <c r="R54" s="213"/>
      <c r="U54" s="213"/>
    </row>
    <row r="55" spans="1:21" s="115" customFormat="1" ht="30" hidden="1" customHeight="1" x14ac:dyDescent="0.35">
      <c r="B55" s="213"/>
      <c r="C55" s="278" t="s">
        <v>55</v>
      </c>
      <c r="D55" s="278"/>
      <c r="E55" s="278"/>
      <c r="F55" s="278"/>
      <c r="G55" s="278"/>
      <c r="H55" s="119"/>
      <c r="I55" s="213"/>
      <c r="J55" s="213">
        <f>E51+K51+Q51-G51-M51-S51</f>
        <v>3613.5059999999999</v>
      </c>
      <c r="K55" s="213"/>
      <c r="L55" s="213"/>
      <c r="M55" s="213"/>
      <c r="N55" s="213"/>
      <c r="R55" s="213"/>
      <c r="T55" s="213"/>
    </row>
    <row r="56" spans="1:21" ht="33" hidden="1" customHeight="1" x14ac:dyDescent="0.5">
      <c r="C56" s="278" t="s">
        <v>56</v>
      </c>
      <c r="D56" s="278"/>
      <c r="E56" s="278"/>
      <c r="F56" s="278"/>
      <c r="G56" s="278"/>
      <c r="H56" s="119"/>
      <c r="I56" s="121"/>
      <c r="J56" s="213">
        <f>H51+N51+T51</f>
        <v>123595.98890000001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13"/>
      <c r="E57" s="213"/>
      <c r="F57" s="213"/>
      <c r="G57" s="213"/>
      <c r="H57" s="119"/>
      <c r="I57" s="121"/>
      <c r="J57" s="213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13"/>
      <c r="E58" s="213"/>
      <c r="F58" s="213"/>
      <c r="G58" s="213"/>
      <c r="H58" s="119"/>
      <c r="I58" s="121"/>
      <c r="J58" s="213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87" t="s">
        <v>57</v>
      </c>
      <c r="C59" s="287"/>
      <c r="D59" s="287"/>
      <c r="E59" s="287"/>
      <c r="F59" s="287"/>
      <c r="G59" s="153"/>
      <c r="H59" s="154"/>
      <c r="I59" s="155"/>
      <c r="J59" s="288"/>
      <c r="K59" s="286"/>
      <c r="L59" s="286"/>
      <c r="M59" s="169" t="e">
        <f>#REF!+'dec-2021'!J54</f>
        <v>#REF!</v>
      </c>
      <c r="N59" s="154"/>
      <c r="O59" s="154"/>
      <c r="P59" s="216"/>
      <c r="Q59" s="287" t="s">
        <v>58</v>
      </c>
      <c r="R59" s="287"/>
      <c r="S59" s="287"/>
      <c r="T59" s="287"/>
      <c r="U59" s="287"/>
    </row>
    <row r="60" spans="1:21" s="152" customFormat="1" ht="37.5" hidden="1" customHeight="1" x14ac:dyDescent="0.45">
      <c r="B60" s="287" t="s">
        <v>59</v>
      </c>
      <c r="C60" s="287"/>
      <c r="D60" s="287"/>
      <c r="E60" s="287"/>
      <c r="F60" s="287"/>
      <c r="G60" s="154"/>
      <c r="H60" s="153"/>
      <c r="I60" s="156"/>
      <c r="J60" s="157"/>
      <c r="K60" s="215"/>
      <c r="L60" s="157"/>
      <c r="M60" s="154"/>
      <c r="N60" s="153"/>
      <c r="O60" s="154"/>
      <c r="P60" s="216"/>
      <c r="Q60" s="287" t="s">
        <v>59</v>
      </c>
      <c r="R60" s="287"/>
      <c r="S60" s="287"/>
      <c r="T60" s="287"/>
      <c r="U60" s="287"/>
    </row>
    <row r="61" spans="1:21" s="152" customFormat="1" ht="37.5" hidden="1" customHeight="1" x14ac:dyDescent="0.45">
      <c r="I61" s="158"/>
      <c r="J61" s="286" t="s">
        <v>61</v>
      </c>
      <c r="K61" s="286"/>
      <c r="L61" s="286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86" t="s">
        <v>62</v>
      </c>
      <c r="K62" s="286"/>
      <c r="L62" s="286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="55" zoomScaleNormal="55" workbookViewId="0">
      <selection activeCell="D5" sqref="D5:E5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143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02" t="s">
        <v>122</v>
      </c>
      <c r="B4" s="305" t="s">
        <v>121</v>
      </c>
      <c r="C4" s="281" t="s">
        <v>131</v>
      </c>
      <c r="D4" s="282"/>
      <c r="E4" s="282"/>
      <c r="F4" s="282"/>
      <c r="G4" s="282"/>
      <c r="H4" s="282"/>
      <c r="I4" s="281" t="s">
        <v>130</v>
      </c>
      <c r="J4" s="282"/>
      <c r="K4" s="282"/>
      <c r="L4" s="282"/>
      <c r="M4" s="282"/>
      <c r="N4" s="282"/>
      <c r="O4" s="281" t="s">
        <v>129</v>
      </c>
      <c r="P4" s="282"/>
      <c r="Q4" s="282"/>
      <c r="R4" s="282"/>
      <c r="S4" s="282"/>
      <c r="T4" s="282"/>
      <c r="U4" s="218"/>
    </row>
    <row r="5" spans="1:21" s="108" customFormat="1" ht="54.75" customHeight="1" x14ac:dyDescent="0.25">
      <c r="A5" s="304"/>
      <c r="B5" s="306"/>
      <c r="C5" s="291" t="s">
        <v>6</v>
      </c>
      <c r="D5" s="289" t="s">
        <v>127</v>
      </c>
      <c r="E5" s="290"/>
      <c r="F5" s="289" t="s">
        <v>126</v>
      </c>
      <c r="G5" s="290"/>
      <c r="H5" s="291" t="s">
        <v>9</v>
      </c>
      <c r="I5" s="291" t="s">
        <v>6</v>
      </c>
      <c r="J5" s="289" t="s">
        <v>127</v>
      </c>
      <c r="K5" s="290"/>
      <c r="L5" s="289" t="s">
        <v>126</v>
      </c>
      <c r="M5" s="290"/>
      <c r="N5" s="291" t="s">
        <v>9</v>
      </c>
      <c r="O5" s="291" t="s">
        <v>6</v>
      </c>
      <c r="P5" s="289" t="s">
        <v>127</v>
      </c>
      <c r="Q5" s="290"/>
      <c r="R5" s="289" t="s">
        <v>126</v>
      </c>
      <c r="S5" s="290"/>
      <c r="T5" s="291" t="s">
        <v>9</v>
      </c>
      <c r="U5" s="305" t="s">
        <v>128</v>
      </c>
    </row>
    <row r="6" spans="1:21" s="108" customFormat="1" ht="38.25" customHeight="1" x14ac:dyDescent="0.25">
      <c r="A6" s="304"/>
      <c r="B6" s="307"/>
      <c r="C6" s="292"/>
      <c r="D6" s="172" t="s">
        <v>124</v>
      </c>
      <c r="E6" s="172" t="s">
        <v>125</v>
      </c>
      <c r="F6" s="172" t="s">
        <v>124</v>
      </c>
      <c r="G6" s="172" t="s">
        <v>125</v>
      </c>
      <c r="H6" s="292"/>
      <c r="I6" s="292"/>
      <c r="J6" s="172" t="s">
        <v>124</v>
      </c>
      <c r="K6" s="172" t="s">
        <v>125</v>
      </c>
      <c r="L6" s="172" t="s">
        <v>124</v>
      </c>
      <c r="M6" s="172" t="s">
        <v>125</v>
      </c>
      <c r="N6" s="292"/>
      <c r="O6" s="292"/>
      <c r="P6" s="172" t="s">
        <v>124</v>
      </c>
      <c r="Q6" s="172" t="s">
        <v>125</v>
      </c>
      <c r="R6" s="172" t="s">
        <v>124</v>
      </c>
      <c r="S6" s="172" t="s">
        <v>125</v>
      </c>
      <c r="T6" s="292"/>
      <c r="U6" s="307"/>
    </row>
    <row r="7" spans="1:21" ht="38.25" customHeight="1" x14ac:dyDescent="0.35">
      <c r="A7" s="171">
        <v>1</v>
      </c>
      <c r="B7" s="172" t="s">
        <v>78</v>
      </c>
      <c r="C7" s="139">
        <f>'[5]January 2022'!H7</f>
        <v>189.45999999999998</v>
      </c>
      <c r="D7" s="139">
        <v>0</v>
      </c>
      <c r="E7" s="139">
        <f>'[5]January 2022'!E7+'[5]February 2022'!D7</f>
        <v>0</v>
      </c>
      <c r="F7" s="139">
        <v>0</v>
      </c>
      <c r="G7" s="139">
        <f>'[5]January 2022'!G7+'[5]February 2022'!F7</f>
        <v>8.9580000000000002</v>
      </c>
      <c r="H7" s="139">
        <f>C7+(D7-F7)</f>
        <v>189.45999999999998</v>
      </c>
      <c r="I7" s="139">
        <f>'[5]January 2022'!N7</f>
        <v>405.65799999999984</v>
      </c>
      <c r="J7" s="139">
        <v>1.27</v>
      </c>
      <c r="K7" s="139">
        <f>'[5]January 2022'!K7+'[5]February 2022'!J7</f>
        <v>44.333000000000013</v>
      </c>
      <c r="L7" s="139">
        <v>0</v>
      </c>
      <c r="M7" s="139">
        <f>'[5]January 2022'!M7+'[5]February 2022'!L7</f>
        <v>0</v>
      </c>
      <c r="N7" s="139">
        <f>I7+(J7-L7)</f>
        <v>406.92799999999983</v>
      </c>
      <c r="O7" s="139">
        <f>'[5]January 2022'!T7</f>
        <v>17.390000000000008</v>
      </c>
      <c r="P7" s="139">
        <v>1</v>
      </c>
      <c r="Q7" s="139">
        <f>'[5]January 2022'!Q7+'[5]February 2022'!P7</f>
        <v>2.88</v>
      </c>
      <c r="R7" s="139">
        <v>0</v>
      </c>
      <c r="S7" s="139">
        <f>'[5]January 2022'!S7+'[5]February 2022'!R7</f>
        <v>1.88</v>
      </c>
      <c r="T7" s="139">
        <f>O7+(P7-R7)</f>
        <v>18.390000000000008</v>
      </c>
      <c r="U7" s="139">
        <f>H7+N7+T7</f>
        <v>614.77799999999979</v>
      </c>
    </row>
    <row r="8" spans="1:21" ht="38.25" customHeight="1" x14ac:dyDescent="0.35">
      <c r="A8" s="171">
        <v>2</v>
      </c>
      <c r="B8" s="172" t="s">
        <v>79</v>
      </c>
      <c r="C8" s="139">
        <f>'[5]January 2022'!H8</f>
        <v>265.39</v>
      </c>
      <c r="D8" s="139">
        <v>0</v>
      </c>
      <c r="E8" s="139">
        <f>'[5]January 2022'!E8+'[5]February 2022'!D8</f>
        <v>0</v>
      </c>
      <c r="F8" s="139">
        <v>0</v>
      </c>
      <c r="G8" s="139">
        <f>'[5]January 2022'!G8+'[5]February 2022'!F8</f>
        <v>0</v>
      </c>
      <c r="H8" s="139">
        <f t="shared" ref="H8:H10" si="0">C8+(D8-F8)</f>
        <v>265.39</v>
      </c>
      <c r="I8" s="139">
        <f>'[5]January 2022'!N8</f>
        <v>307.11</v>
      </c>
      <c r="J8" s="139">
        <v>2.4049999999999998</v>
      </c>
      <c r="K8" s="139">
        <f>'[5]January 2022'!K8+'[5]February 2022'!J8</f>
        <v>47.335000000000001</v>
      </c>
      <c r="L8" s="139">
        <v>0</v>
      </c>
      <c r="M8" s="139">
        <f>'[5]January 2022'!M8+'[5]February 2022'!L8</f>
        <v>0</v>
      </c>
      <c r="N8" s="139">
        <f t="shared" ref="N8:N10" si="1">I8+(J8-L8)</f>
        <v>309.51499999999999</v>
      </c>
      <c r="O8" s="139">
        <f>'[5]January 2022'!T8</f>
        <v>66.290000000000006</v>
      </c>
      <c r="P8" s="139">
        <v>0</v>
      </c>
      <c r="Q8" s="139">
        <f>'[5]January 2022'!Q8+'[5]February 2022'!P8</f>
        <v>3.18</v>
      </c>
      <c r="R8" s="139">
        <v>0</v>
      </c>
      <c r="S8" s="139">
        <f>'[5]January 2022'!S8+'[5]February 2022'!R8</f>
        <v>0</v>
      </c>
      <c r="T8" s="139">
        <f t="shared" ref="T8:T10" si="2">O8+(P8-R8)</f>
        <v>66.290000000000006</v>
      </c>
      <c r="U8" s="139">
        <f t="shared" ref="U8:U10" si="3">H8+N8+T8</f>
        <v>641.19499999999994</v>
      </c>
    </row>
    <row r="9" spans="1:21" ht="38.25" customHeight="1" x14ac:dyDescent="0.35">
      <c r="A9" s="171">
        <v>3</v>
      </c>
      <c r="B9" s="172" t="s">
        <v>80</v>
      </c>
      <c r="C9" s="139">
        <f>'[5]January 2022'!H9</f>
        <v>209.16</v>
      </c>
      <c r="D9" s="139">
        <v>0</v>
      </c>
      <c r="E9" s="139">
        <f>'[5]January 2022'!E9+'[5]February 2022'!D9</f>
        <v>0</v>
      </c>
      <c r="F9" s="139">
        <v>0</v>
      </c>
      <c r="G9" s="139">
        <f>'[5]January 2022'!G9+'[5]February 2022'!F9</f>
        <v>0</v>
      </c>
      <c r="H9" s="139">
        <f t="shared" si="0"/>
        <v>209.16</v>
      </c>
      <c r="I9" s="139">
        <f>'[5]January 2022'!N9</f>
        <v>697.02800000000002</v>
      </c>
      <c r="J9" s="139">
        <v>1.22</v>
      </c>
      <c r="K9" s="139">
        <f>'[5]January 2022'!K9+'[5]February 2022'!J9</f>
        <v>14.72</v>
      </c>
      <c r="L9" s="139">
        <v>0</v>
      </c>
      <c r="M9" s="139">
        <f>'[5]January 2022'!M9+'[5]February 2022'!L9</f>
        <v>0</v>
      </c>
      <c r="N9" s="139">
        <f t="shared" si="1"/>
        <v>698.24800000000005</v>
      </c>
      <c r="O9" s="139">
        <f>'[5]January 2022'!T9</f>
        <v>44.739999999999995</v>
      </c>
      <c r="P9" s="139">
        <v>0</v>
      </c>
      <c r="Q9" s="139">
        <f>'[5]January 2022'!Q9+'[5]February 2022'!P9</f>
        <v>0</v>
      </c>
      <c r="R9" s="139">
        <v>0</v>
      </c>
      <c r="S9" s="139">
        <f>'[5]January 2022'!S9+'[5]February 2022'!R9</f>
        <v>0</v>
      </c>
      <c r="T9" s="139">
        <f t="shared" si="2"/>
        <v>44.739999999999995</v>
      </c>
      <c r="U9" s="139">
        <f t="shared" si="3"/>
        <v>952.14800000000002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f>'[5]January 2022'!H10</f>
        <v>0</v>
      </c>
      <c r="D10" s="139">
        <v>0</v>
      </c>
      <c r="E10" s="139">
        <f>'[5]January 2022'!E10+'[5]February 2022'!D10</f>
        <v>0</v>
      </c>
      <c r="F10" s="139">
        <v>0</v>
      </c>
      <c r="G10" s="139">
        <f>'[5]January 2022'!G10+'[5]February 2022'!F10</f>
        <v>0</v>
      </c>
      <c r="H10" s="139">
        <f t="shared" si="0"/>
        <v>0</v>
      </c>
      <c r="I10" s="139">
        <f>'[5]January 2022'!N10</f>
        <v>342.005</v>
      </c>
      <c r="J10" s="139">
        <v>0.09</v>
      </c>
      <c r="K10" s="139">
        <f>'[5]January 2022'!K10+'[5]February 2022'!J10</f>
        <v>4.5399999999999991</v>
      </c>
      <c r="L10" s="139">
        <v>0</v>
      </c>
      <c r="M10" s="139">
        <f>'[5]January 2022'!M10+'[5]February 2022'!L10</f>
        <v>0</v>
      </c>
      <c r="N10" s="139">
        <f t="shared" si="1"/>
        <v>342.09499999999997</v>
      </c>
      <c r="O10" s="139">
        <f>'[5]January 2022'!T10</f>
        <v>0.20000000000000007</v>
      </c>
      <c r="P10" s="139">
        <v>0</v>
      </c>
      <c r="Q10" s="139">
        <f>'[5]January 2022'!Q10+'[5]February 2022'!P10</f>
        <v>0</v>
      </c>
      <c r="R10" s="139">
        <v>0</v>
      </c>
      <c r="S10" s="139">
        <f>'[5]January 2022'!S10+'[5]February 2022'!R10</f>
        <v>0</v>
      </c>
      <c r="T10" s="139">
        <f t="shared" si="2"/>
        <v>0.20000000000000007</v>
      </c>
      <c r="U10" s="139">
        <f t="shared" si="3"/>
        <v>342.29499999999996</v>
      </c>
    </row>
    <row r="11" spans="1:21" s="111" customFormat="1" ht="38.25" customHeight="1" x14ac:dyDescent="0.4">
      <c r="A11" s="308" t="s">
        <v>82</v>
      </c>
      <c r="B11" s="309"/>
      <c r="C11" s="141">
        <f>SUM(C7:C10)</f>
        <v>664.01</v>
      </c>
      <c r="D11" s="141">
        <f t="shared" ref="D11:T11" si="4">SUM(D7:D10)</f>
        <v>0</v>
      </c>
      <c r="E11" s="141">
        <f t="shared" si="4"/>
        <v>0</v>
      </c>
      <c r="F11" s="141">
        <f t="shared" si="4"/>
        <v>0</v>
      </c>
      <c r="G11" s="141">
        <f t="shared" si="4"/>
        <v>8.9580000000000002</v>
      </c>
      <c r="H11" s="141">
        <f t="shared" si="4"/>
        <v>664.01</v>
      </c>
      <c r="I11" s="141">
        <f t="shared" si="4"/>
        <v>1751.8009999999999</v>
      </c>
      <c r="J11" s="141">
        <f t="shared" si="4"/>
        <v>4.9849999999999994</v>
      </c>
      <c r="K11" s="141">
        <f t="shared" si="4"/>
        <v>110.928</v>
      </c>
      <c r="L11" s="141">
        <f t="shared" si="4"/>
        <v>0</v>
      </c>
      <c r="M11" s="141">
        <f t="shared" si="4"/>
        <v>0</v>
      </c>
      <c r="N11" s="141">
        <f t="shared" si="4"/>
        <v>1756.7859999999998</v>
      </c>
      <c r="O11" s="141">
        <f t="shared" si="4"/>
        <v>128.62</v>
      </c>
      <c r="P11" s="141">
        <f t="shared" si="4"/>
        <v>1</v>
      </c>
      <c r="Q11" s="141">
        <f t="shared" si="4"/>
        <v>6.0600000000000005</v>
      </c>
      <c r="R11" s="141">
        <f t="shared" si="4"/>
        <v>0</v>
      </c>
      <c r="S11" s="141">
        <f t="shared" si="4"/>
        <v>1.88</v>
      </c>
      <c r="T11" s="141">
        <f t="shared" si="4"/>
        <v>129.62</v>
      </c>
      <c r="U11" s="141">
        <f>U10+U9+U8+U7</f>
        <v>2550.4159999999997</v>
      </c>
    </row>
    <row r="12" spans="1:21" ht="38.25" customHeight="1" x14ac:dyDescent="0.35">
      <c r="A12" s="171">
        <v>4</v>
      </c>
      <c r="B12" s="172" t="s">
        <v>83</v>
      </c>
      <c r="C12" s="139">
        <f>'[5]January 2022'!H12</f>
        <v>413.23999999999961</v>
      </c>
      <c r="D12" s="139">
        <v>0</v>
      </c>
      <c r="E12" s="139">
        <f>'[5]January 2022'!E12+'[5]February 2022'!D12</f>
        <v>0</v>
      </c>
      <c r="F12" s="139">
        <v>57.93</v>
      </c>
      <c r="G12" s="139">
        <f>'[5]January 2022'!G12+'[5]February 2022'!F12</f>
        <v>81.02</v>
      </c>
      <c r="H12" s="139">
        <f t="shared" ref="H12:H14" si="5">C12+(D12-F12)</f>
        <v>355.3099999999996</v>
      </c>
      <c r="I12" s="139">
        <f>'[5]January 2022'!N12</f>
        <v>803.46499999999992</v>
      </c>
      <c r="J12" s="221">
        <v>0.53</v>
      </c>
      <c r="K12" s="139">
        <f>'[5]January 2022'!K12+'[5]February 2022'!J12</f>
        <v>67.825000000000003</v>
      </c>
      <c r="L12" s="139">
        <v>0</v>
      </c>
      <c r="M12" s="139">
        <f>'[5]January 2022'!M12+'[5]February 2022'!L12</f>
        <v>0</v>
      </c>
      <c r="N12" s="139">
        <f t="shared" ref="N12:N14" si="6">I12+(J12-L12)</f>
        <v>803.99499999999989</v>
      </c>
      <c r="O12" s="139">
        <f>'[5]January 2022'!T12</f>
        <v>36.850000000000009</v>
      </c>
      <c r="P12" s="139">
        <v>0</v>
      </c>
      <c r="Q12" s="139">
        <f>'[5]January 2022'!Q12+'[5]February 2022'!P12</f>
        <v>0</v>
      </c>
      <c r="R12" s="139">
        <v>0</v>
      </c>
      <c r="S12" s="139">
        <f>'[5]January 2022'!S12+'[5]February 2022'!R12</f>
        <v>0</v>
      </c>
      <c r="T12" s="139">
        <f t="shared" ref="T12:T14" si="7">O12+(P12-R12)</f>
        <v>36.850000000000009</v>
      </c>
      <c r="U12" s="139">
        <f t="shared" ref="U12:U14" si="8">H12+N12+T12</f>
        <v>1196.1549999999993</v>
      </c>
    </row>
    <row r="13" spans="1:21" ht="38.25" customHeight="1" x14ac:dyDescent="0.35">
      <c r="A13" s="171">
        <v>5</v>
      </c>
      <c r="B13" s="172" t="s">
        <v>84</v>
      </c>
      <c r="C13" s="139">
        <f>'[5]January 2022'!H13</f>
        <v>312.23000000000013</v>
      </c>
      <c r="D13" s="139">
        <v>0</v>
      </c>
      <c r="E13" s="139">
        <f>'[5]January 2022'!E13+'[5]February 2022'!D13</f>
        <v>0.85</v>
      </c>
      <c r="F13" s="139">
        <v>0</v>
      </c>
      <c r="G13" s="139">
        <f>'[5]January 2022'!G13+'[5]February 2022'!F13</f>
        <v>0</v>
      </c>
      <c r="H13" s="139">
        <f t="shared" si="5"/>
        <v>312.23000000000013</v>
      </c>
      <c r="I13" s="139">
        <f>'[5]January 2022'!N13</f>
        <v>526.71200000000022</v>
      </c>
      <c r="J13" s="221">
        <v>0.84</v>
      </c>
      <c r="K13" s="139">
        <f>'[5]January 2022'!K13+'[5]February 2022'!J13</f>
        <v>10.681999999999999</v>
      </c>
      <c r="L13" s="139">
        <v>0</v>
      </c>
      <c r="M13" s="139">
        <f>'[5]January 2022'!M13+'[5]February 2022'!L13</f>
        <v>0</v>
      </c>
      <c r="N13" s="139">
        <f t="shared" si="6"/>
        <v>527.55200000000025</v>
      </c>
      <c r="O13" s="139">
        <f>'[5]January 2022'!T13</f>
        <v>68.39</v>
      </c>
      <c r="P13" s="139">
        <v>0</v>
      </c>
      <c r="Q13" s="139">
        <f>'[5]January 2022'!Q13+'[5]February 2022'!P13</f>
        <v>0</v>
      </c>
      <c r="R13" s="139">
        <v>0</v>
      </c>
      <c r="S13" s="139">
        <f>'[5]January 2022'!S13+'[5]February 2022'!R13</f>
        <v>0</v>
      </c>
      <c r="T13" s="139">
        <f t="shared" si="7"/>
        <v>68.39</v>
      </c>
      <c r="U13" s="139">
        <f t="shared" si="8"/>
        <v>908.17200000000037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f>'[5]January 2022'!H14</f>
        <v>1216.4399999999994</v>
      </c>
      <c r="D14" s="139">
        <v>0</v>
      </c>
      <c r="E14" s="139">
        <f>'[5]January 2022'!E14+'[5]February 2022'!D14</f>
        <v>0.15</v>
      </c>
      <c r="F14" s="139">
        <v>0</v>
      </c>
      <c r="G14" s="139">
        <f>'[5]January 2022'!G14+'[5]February 2022'!F14</f>
        <v>0</v>
      </c>
      <c r="H14" s="139">
        <f t="shared" si="5"/>
        <v>1216.4399999999994</v>
      </c>
      <c r="I14" s="139">
        <f>'[5]January 2022'!N14</f>
        <v>859.61800000000028</v>
      </c>
      <c r="J14" s="221">
        <v>1.64</v>
      </c>
      <c r="K14" s="139">
        <f>'[5]January 2022'!K14+'[5]February 2022'!J14</f>
        <v>42.957999999999998</v>
      </c>
      <c r="L14" s="139">
        <v>0</v>
      </c>
      <c r="M14" s="139">
        <f>'[5]January 2022'!M14+'[5]February 2022'!L14</f>
        <v>0</v>
      </c>
      <c r="N14" s="139">
        <f t="shared" si="6"/>
        <v>861.25800000000027</v>
      </c>
      <c r="O14" s="139">
        <f>'[5]January 2022'!T14</f>
        <v>61.329999999999991</v>
      </c>
      <c r="P14" s="139">
        <v>0</v>
      </c>
      <c r="Q14" s="139">
        <f>'[5]January 2022'!Q14+'[5]February 2022'!P14</f>
        <v>0</v>
      </c>
      <c r="R14" s="139">
        <v>0</v>
      </c>
      <c r="S14" s="139">
        <f>'[5]January 2022'!S14+'[5]February 2022'!R14</f>
        <v>0</v>
      </c>
      <c r="T14" s="139">
        <f t="shared" si="7"/>
        <v>61.329999999999991</v>
      </c>
      <c r="U14" s="139">
        <f t="shared" si="8"/>
        <v>2139.0279999999993</v>
      </c>
    </row>
    <row r="15" spans="1:21" s="111" customFormat="1" ht="38.25" customHeight="1" x14ac:dyDescent="0.4">
      <c r="A15" s="308" t="s">
        <v>86</v>
      </c>
      <c r="B15" s="309"/>
      <c r="C15" s="141">
        <f>SUM(C12:C14)</f>
        <v>1941.9099999999992</v>
      </c>
      <c r="D15" s="141">
        <f t="shared" ref="D15:T15" si="9">SUM(D12:D14)</f>
        <v>0</v>
      </c>
      <c r="E15" s="141">
        <f t="shared" si="9"/>
        <v>1</v>
      </c>
      <c r="F15" s="141">
        <f t="shared" si="9"/>
        <v>57.93</v>
      </c>
      <c r="G15" s="141">
        <f t="shared" si="9"/>
        <v>81.02</v>
      </c>
      <c r="H15" s="141">
        <f t="shared" si="9"/>
        <v>1883.9799999999991</v>
      </c>
      <c r="I15" s="141">
        <f t="shared" si="9"/>
        <v>2189.7950000000005</v>
      </c>
      <c r="J15" s="141">
        <f t="shared" si="9"/>
        <v>3.01</v>
      </c>
      <c r="K15" s="141">
        <f t="shared" si="9"/>
        <v>121.465</v>
      </c>
      <c r="L15" s="141">
        <f t="shared" si="9"/>
        <v>0</v>
      </c>
      <c r="M15" s="141">
        <f t="shared" si="9"/>
        <v>0</v>
      </c>
      <c r="N15" s="141">
        <f t="shared" si="9"/>
        <v>2192.8050000000003</v>
      </c>
      <c r="O15" s="141">
        <f t="shared" si="9"/>
        <v>166.57</v>
      </c>
      <c r="P15" s="141">
        <f t="shared" si="9"/>
        <v>0</v>
      </c>
      <c r="Q15" s="141">
        <f t="shared" si="9"/>
        <v>0</v>
      </c>
      <c r="R15" s="141">
        <f t="shared" si="9"/>
        <v>0</v>
      </c>
      <c r="S15" s="141">
        <f t="shared" si="9"/>
        <v>0</v>
      </c>
      <c r="T15" s="141">
        <f t="shared" si="9"/>
        <v>166.57</v>
      </c>
      <c r="U15" s="141">
        <f t="shared" ref="U15:U49" si="10">T15+N15+H15</f>
        <v>4243.3549999999996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f>'[4]December 2021'!H16</f>
        <v>1011.2140000000004</v>
      </c>
      <c r="D16" s="139">
        <v>0</v>
      </c>
      <c r="E16" s="139">
        <f>'[4]December 2021'!E16+'[4]January 2022'!D16</f>
        <v>1.9299999999999997</v>
      </c>
      <c r="F16" s="139">
        <v>0</v>
      </c>
      <c r="G16" s="139">
        <f>'[4]December 2021'!G16+'[4]January 2022'!F16</f>
        <v>57.36</v>
      </c>
      <c r="H16" s="139">
        <f t="shared" ref="H16:H48" si="11">C16+(D16-F16)</f>
        <v>1011.2140000000004</v>
      </c>
      <c r="I16" s="139">
        <f>'[4]December 2021'!N16</f>
        <v>275.71600000000001</v>
      </c>
      <c r="J16" s="139">
        <f>2.39+6</f>
        <v>8.39</v>
      </c>
      <c r="K16" s="139">
        <f>'[4]December 2021'!K16+'[4]January 2022'!J16</f>
        <v>157.42500000000001</v>
      </c>
      <c r="L16" s="139">
        <v>0</v>
      </c>
      <c r="M16" s="139">
        <f>'[4]December 2021'!M16+'[4]January 2022'!L16</f>
        <v>0</v>
      </c>
      <c r="N16" s="139">
        <f t="shared" ref="N16:N48" si="12">I16+(J16-L16)</f>
        <v>284.10599999999999</v>
      </c>
      <c r="O16" s="139">
        <f>'[4]December 2021'!T16</f>
        <v>177.31200000000004</v>
      </c>
      <c r="P16" s="139">
        <v>0</v>
      </c>
      <c r="Q16" s="139">
        <f>'[4]December 2021'!Q16+'[4]January 2022'!P16</f>
        <v>0.05</v>
      </c>
      <c r="R16" s="139">
        <v>0</v>
      </c>
      <c r="S16" s="139">
        <f>'[4]December 2021'!S16+'[4]January 2022'!R16</f>
        <v>0</v>
      </c>
      <c r="T16" s="139">
        <f t="shared" ref="T16:T48" si="13">O16+(P16-R16)</f>
        <v>177.31200000000004</v>
      </c>
      <c r="U16" s="139">
        <f t="shared" si="10"/>
        <v>1472.6320000000005</v>
      </c>
    </row>
    <row r="17" spans="1:21" ht="38.25" customHeight="1" x14ac:dyDescent="0.35">
      <c r="A17" s="171">
        <v>9</v>
      </c>
      <c r="B17" s="172" t="s">
        <v>120</v>
      </c>
      <c r="C17" s="139">
        <f>'[4]December 2021'!H17</f>
        <v>58.815999999999946</v>
      </c>
      <c r="D17" s="174">
        <v>0</v>
      </c>
      <c r="E17" s="139">
        <f>'[4]December 2021'!E17+'[4]January 2022'!D17</f>
        <v>3.51</v>
      </c>
      <c r="F17" s="174">
        <v>47.69</v>
      </c>
      <c r="G17" s="139">
        <f>'[4]December 2021'!G17+'[4]January 2022'!F17</f>
        <v>115.52</v>
      </c>
      <c r="H17" s="139">
        <f t="shared" si="11"/>
        <v>11.125999999999948</v>
      </c>
      <c r="I17" s="139">
        <f>'[4]December 2021'!N17</f>
        <v>442.87000000000018</v>
      </c>
      <c r="J17" s="174">
        <f>46.57+4.5</f>
        <v>51.07</v>
      </c>
      <c r="K17" s="139">
        <f>'[4]December 2021'!K17+'[4]January 2022'!J17</f>
        <v>145.91</v>
      </c>
      <c r="L17" s="174">
        <v>0</v>
      </c>
      <c r="M17" s="139">
        <f>'[4]December 2021'!M17+'[4]January 2022'!L17</f>
        <v>0</v>
      </c>
      <c r="N17" s="139">
        <f t="shared" si="12"/>
        <v>493.94000000000017</v>
      </c>
      <c r="O17" s="139">
        <f>'[4]December 2021'!T17</f>
        <v>6.33</v>
      </c>
      <c r="P17" s="174">
        <v>0</v>
      </c>
      <c r="Q17" s="139">
        <f>'[4]December 2021'!Q17+'[4]January 2022'!P17</f>
        <v>0.03</v>
      </c>
      <c r="R17" s="174">
        <v>0</v>
      </c>
      <c r="S17" s="139">
        <f>'[4]December 2021'!S17+'[4]January 2022'!R17</f>
        <v>1.665</v>
      </c>
      <c r="T17" s="139">
        <f t="shared" si="13"/>
        <v>6.33</v>
      </c>
      <c r="U17" s="139">
        <f t="shared" si="10"/>
        <v>511.39600000000007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f>'[4]December 2021'!H18</f>
        <v>135.7760000000001</v>
      </c>
      <c r="D18" s="139">
        <v>0</v>
      </c>
      <c r="E18" s="139">
        <f>'[4]December 2021'!E18+'[4]January 2022'!D18</f>
        <v>0.29000000000000004</v>
      </c>
      <c r="F18" s="139">
        <v>59.79</v>
      </c>
      <c r="G18" s="139">
        <f>'[4]December 2021'!G18+'[4]January 2022'!F18</f>
        <v>59.79</v>
      </c>
      <c r="H18" s="139">
        <f t="shared" si="11"/>
        <v>75.986000000000104</v>
      </c>
      <c r="I18" s="139">
        <f>'[4]December 2021'!N18</f>
        <v>482.99699999999996</v>
      </c>
      <c r="J18" s="139">
        <v>1.43</v>
      </c>
      <c r="K18" s="139">
        <f>'[4]December 2021'!K18+'[4]January 2022'!J18</f>
        <v>141.88999999999999</v>
      </c>
      <c r="L18" s="139">
        <v>0</v>
      </c>
      <c r="M18" s="139">
        <f>'[4]December 2021'!M18+'[4]January 2022'!L18</f>
        <v>0</v>
      </c>
      <c r="N18" s="139">
        <f t="shared" si="12"/>
        <v>484.42699999999996</v>
      </c>
      <c r="O18" s="139">
        <f>'[4]December 2021'!T18</f>
        <v>38.869999999999997</v>
      </c>
      <c r="P18" s="139">
        <v>0</v>
      </c>
      <c r="Q18" s="139">
        <f>'[4]December 2021'!Q18+'[4]January 2022'!P18</f>
        <v>0</v>
      </c>
      <c r="R18" s="139">
        <v>0</v>
      </c>
      <c r="S18" s="139">
        <f>'[4]December 2021'!S18+'[4]January 2022'!R18</f>
        <v>0</v>
      </c>
      <c r="T18" s="139">
        <f t="shared" si="13"/>
        <v>38.869999999999997</v>
      </c>
      <c r="U18" s="139">
        <f t="shared" si="10"/>
        <v>599.28300000000002</v>
      </c>
    </row>
    <row r="19" spans="1:21" s="111" customFormat="1" ht="38.25" customHeight="1" x14ac:dyDescent="0.4">
      <c r="A19" s="308" t="s">
        <v>89</v>
      </c>
      <c r="B19" s="309"/>
      <c r="C19" s="141">
        <f>SUM(C16:C18)</f>
        <v>1205.8060000000005</v>
      </c>
      <c r="D19" s="141">
        <f t="shared" ref="D19:T19" si="14">SUM(D16:D18)</f>
        <v>0</v>
      </c>
      <c r="E19" s="141">
        <f t="shared" si="14"/>
        <v>5.7299999999999995</v>
      </c>
      <c r="F19" s="141">
        <f t="shared" si="14"/>
        <v>107.47999999999999</v>
      </c>
      <c r="G19" s="141">
        <f t="shared" si="14"/>
        <v>232.67</v>
      </c>
      <c r="H19" s="141">
        <f t="shared" si="14"/>
        <v>1098.3260000000005</v>
      </c>
      <c r="I19" s="141">
        <f t="shared" si="14"/>
        <v>1201.5830000000001</v>
      </c>
      <c r="J19" s="141">
        <f t="shared" si="14"/>
        <v>60.89</v>
      </c>
      <c r="K19" s="141">
        <f t="shared" si="14"/>
        <v>445.22500000000002</v>
      </c>
      <c r="L19" s="141">
        <f t="shared" si="14"/>
        <v>0</v>
      </c>
      <c r="M19" s="141">
        <f t="shared" si="14"/>
        <v>0</v>
      </c>
      <c r="N19" s="141">
        <f t="shared" si="14"/>
        <v>1262.4730000000002</v>
      </c>
      <c r="O19" s="141">
        <f t="shared" si="14"/>
        <v>222.51200000000006</v>
      </c>
      <c r="P19" s="141">
        <f t="shared" si="14"/>
        <v>0</v>
      </c>
      <c r="Q19" s="141">
        <f t="shared" si="14"/>
        <v>0.08</v>
      </c>
      <c r="R19" s="141">
        <f t="shared" si="14"/>
        <v>0</v>
      </c>
      <c r="S19" s="141">
        <f t="shared" si="14"/>
        <v>1.665</v>
      </c>
      <c r="T19" s="141">
        <f t="shared" si="14"/>
        <v>222.51200000000006</v>
      </c>
      <c r="U19" s="141">
        <f t="shared" si="10"/>
        <v>2583.3110000000006</v>
      </c>
    </row>
    <row r="20" spans="1:21" ht="38.25" customHeight="1" x14ac:dyDescent="0.35">
      <c r="A20" s="171">
        <v>8</v>
      </c>
      <c r="B20" s="172" t="s">
        <v>91</v>
      </c>
      <c r="C20" s="139">
        <f>'[4]December 2021'!H20</f>
        <v>629.64</v>
      </c>
      <c r="D20" s="139">
        <v>0</v>
      </c>
      <c r="E20" s="139">
        <f>'[4]December 2021'!E20+'[4]January 2022'!D20</f>
        <v>2.37</v>
      </c>
      <c r="F20" s="139">
        <v>0</v>
      </c>
      <c r="G20" s="139">
        <f>'[4]December 2021'!G20+'[4]January 2022'!F20</f>
        <v>0.43</v>
      </c>
      <c r="H20" s="139">
        <f t="shared" si="11"/>
        <v>629.64</v>
      </c>
      <c r="I20" s="139">
        <f>'[4]December 2021'!N20</f>
        <v>394.99500000000012</v>
      </c>
      <c r="J20" s="139">
        <v>2.423</v>
      </c>
      <c r="K20" s="139">
        <f>'[4]December 2021'!K20+'[4]January 2022'!J20</f>
        <v>14.698</v>
      </c>
      <c r="L20" s="139">
        <v>0</v>
      </c>
      <c r="M20" s="139">
        <f>'[4]December 2021'!M20+'[4]January 2022'!L20</f>
        <v>0</v>
      </c>
      <c r="N20" s="139">
        <f t="shared" si="12"/>
        <v>397.41800000000012</v>
      </c>
      <c r="O20" s="139">
        <f>'[4]December 2021'!T20</f>
        <v>40.350000000000009</v>
      </c>
      <c r="P20" s="139">
        <v>0</v>
      </c>
      <c r="Q20" s="139">
        <f>'[4]December 2021'!Q20+'[4]January 2022'!P20</f>
        <v>0.15</v>
      </c>
      <c r="R20" s="139">
        <v>0</v>
      </c>
      <c r="S20" s="139">
        <f>'[4]December 2021'!S20+'[4]January 2022'!R20</f>
        <v>0.04</v>
      </c>
      <c r="T20" s="139">
        <f t="shared" si="13"/>
        <v>40.350000000000009</v>
      </c>
      <c r="U20" s="139">
        <f t="shared" si="10"/>
        <v>1067.4080000000001</v>
      </c>
    </row>
    <row r="21" spans="1:21" ht="38.25" customHeight="1" x14ac:dyDescent="0.35">
      <c r="A21" s="171">
        <v>9</v>
      </c>
      <c r="B21" s="172" t="s">
        <v>90</v>
      </c>
      <c r="C21" s="139">
        <f>'[4]December 2021'!H21</f>
        <v>22.51</v>
      </c>
      <c r="D21" s="139">
        <v>0</v>
      </c>
      <c r="E21" s="139">
        <f>'[4]December 2021'!E21+'[4]January 2022'!D21</f>
        <v>0</v>
      </c>
      <c r="F21" s="139">
        <v>0</v>
      </c>
      <c r="G21" s="139">
        <f>'[4]December 2021'!G21+'[4]January 2022'!F21</f>
        <v>8.36</v>
      </c>
      <c r="H21" s="139">
        <f t="shared" si="11"/>
        <v>22.51</v>
      </c>
      <c r="I21" s="139">
        <f>'[4]December 2021'!N21</f>
        <v>396.39699999999993</v>
      </c>
      <c r="J21" s="139">
        <v>0.67</v>
      </c>
      <c r="K21" s="139">
        <f>'[4]December 2021'!K21+'[4]January 2022'!J21</f>
        <v>28.374000000000006</v>
      </c>
      <c r="L21" s="139">
        <v>0</v>
      </c>
      <c r="M21" s="139">
        <f>'[4]December 2021'!M21+'[4]January 2022'!L21</f>
        <v>0</v>
      </c>
      <c r="N21" s="139">
        <f t="shared" si="12"/>
        <v>397.06699999999995</v>
      </c>
      <c r="O21" s="139">
        <f>'[4]December 2021'!T21</f>
        <v>19.369999999999997</v>
      </c>
      <c r="P21" s="139">
        <v>0</v>
      </c>
      <c r="Q21" s="139">
        <f>'[4]December 2021'!Q21+'[4]January 2022'!P21</f>
        <v>0</v>
      </c>
      <c r="R21" s="139">
        <v>0</v>
      </c>
      <c r="S21" s="139">
        <f>'[4]December 2021'!S21+'[4]January 2022'!R21</f>
        <v>0.19</v>
      </c>
      <c r="T21" s="139">
        <f t="shared" si="13"/>
        <v>19.369999999999997</v>
      </c>
      <c r="U21" s="139">
        <f t="shared" si="10"/>
        <v>438.94699999999995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f>'[4]December 2021'!H22</f>
        <v>118.15</v>
      </c>
      <c r="D22" s="139">
        <f>1.04</f>
        <v>1.04</v>
      </c>
      <c r="E22" s="139">
        <f>'[4]December 2021'!E22+'[4]January 2022'!D22</f>
        <v>2.93</v>
      </c>
      <c r="F22" s="139">
        <v>0</v>
      </c>
      <c r="G22" s="139">
        <f>'[4]December 2021'!G22+'[4]January 2022'!F22</f>
        <v>64.459999999999994</v>
      </c>
      <c r="H22" s="139">
        <f t="shared" si="11"/>
        <v>119.19000000000001</v>
      </c>
      <c r="I22" s="139">
        <f>'[4]December 2021'!N22</f>
        <v>451.48000000000008</v>
      </c>
      <c r="J22" s="139">
        <v>0.35</v>
      </c>
      <c r="K22" s="139">
        <f>'[4]December 2021'!K22+'[4]January 2022'!J22</f>
        <v>110.30499999999999</v>
      </c>
      <c r="L22" s="139">
        <v>0</v>
      </c>
      <c r="M22" s="139">
        <f>'[4]December 2021'!M22+'[4]January 2022'!L22</f>
        <v>19.510000000000002</v>
      </c>
      <c r="N22" s="139">
        <f t="shared" si="12"/>
        <v>451.8300000000001</v>
      </c>
      <c r="O22" s="139">
        <f>'[4]December 2021'!T22</f>
        <v>4.370000000000001</v>
      </c>
      <c r="P22" s="139">
        <v>0</v>
      </c>
      <c r="Q22" s="139">
        <f>'[4]December 2021'!Q22+'[4]January 2022'!P22</f>
        <v>0</v>
      </c>
      <c r="R22" s="139">
        <v>0</v>
      </c>
      <c r="S22" s="139">
        <f>'[4]December 2021'!S22+'[4]January 2022'!R22</f>
        <v>12.75</v>
      </c>
      <c r="T22" s="139">
        <f t="shared" si="13"/>
        <v>4.370000000000001</v>
      </c>
      <c r="U22" s="139">
        <f t="shared" si="10"/>
        <v>575.3900000000001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f>'[4]December 2021'!H23</f>
        <v>430.64</v>
      </c>
      <c r="D23" s="139">
        <v>0</v>
      </c>
      <c r="E23" s="139">
        <f>'[4]December 2021'!E23+'[4]January 2022'!D23</f>
        <v>8.35</v>
      </c>
      <c r="F23" s="139">
        <v>0</v>
      </c>
      <c r="G23" s="139">
        <f>'[4]December 2021'!G23+'[4]January 2022'!F23</f>
        <v>0</v>
      </c>
      <c r="H23" s="139">
        <f t="shared" si="11"/>
        <v>430.64</v>
      </c>
      <c r="I23" s="139">
        <f>'[4]December 2021'!N23</f>
        <v>85.694999999999993</v>
      </c>
      <c r="J23" s="139">
        <v>1.84</v>
      </c>
      <c r="K23" s="139">
        <f>'[4]December 2021'!K23+'[4]January 2022'!J23</f>
        <v>10.734999999999999</v>
      </c>
      <c r="L23" s="139">
        <v>0</v>
      </c>
      <c r="M23" s="139">
        <f>'[4]December 2021'!M23+'[4]January 2022'!L23</f>
        <v>0</v>
      </c>
      <c r="N23" s="139">
        <f t="shared" si="12"/>
        <v>87.534999999999997</v>
      </c>
      <c r="O23" s="139">
        <f>'[4]December 2021'!T23</f>
        <v>22.5</v>
      </c>
      <c r="P23" s="139">
        <v>0</v>
      </c>
      <c r="Q23" s="139">
        <f>'[4]December 2021'!Q23+'[4]January 2022'!P23</f>
        <v>0</v>
      </c>
      <c r="R23" s="139">
        <v>0</v>
      </c>
      <c r="S23" s="139">
        <f>'[4]December 2021'!S23+'[4]January 2022'!R23</f>
        <v>3.26</v>
      </c>
      <c r="T23" s="139">
        <f t="shared" si="13"/>
        <v>22.5</v>
      </c>
      <c r="U23" s="139">
        <f t="shared" si="10"/>
        <v>540.67499999999995</v>
      </c>
    </row>
    <row r="24" spans="1:21" s="111" customFormat="1" ht="38.25" customHeight="1" x14ac:dyDescent="0.4">
      <c r="A24" s="313" t="s">
        <v>94</v>
      </c>
      <c r="B24" s="313"/>
      <c r="C24" s="141">
        <f>SUM(C20:C23)</f>
        <v>1200.94</v>
      </c>
      <c r="D24" s="141">
        <f t="shared" ref="D24:T24" si="15">SUM(D20:D23)</f>
        <v>1.04</v>
      </c>
      <c r="E24" s="141">
        <f t="shared" si="15"/>
        <v>13.65</v>
      </c>
      <c r="F24" s="141">
        <f t="shared" si="15"/>
        <v>0</v>
      </c>
      <c r="G24" s="141">
        <f t="shared" si="15"/>
        <v>73.25</v>
      </c>
      <c r="H24" s="141">
        <f t="shared" si="15"/>
        <v>1201.98</v>
      </c>
      <c r="I24" s="141">
        <f t="shared" si="15"/>
        <v>1328.567</v>
      </c>
      <c r="J24" s="141">
        <f t="shared" si="15"/>
        <v>5.2830000000000004</v>
      </c>
      <c r="K24" s="141">
        <f t="shared" si="15"/>
        <v>164.11200000000002</v>
      </c>
      <c r="L24" s="141">
        <f t="shared" si="15"/>
        <v>0</v>
      </c>
      <c r="M24" s="141">
        <f t="shared" si="15"/>
        <v>19.510000000000002</v>
      </c>
      <c r="N24" s="141">
        <f t="shared" si="15"/>
        <v>1333.8500000000004</v>
      </c>
      <c r="O24" s="141">
        <f t="shared" si="15"/>
        <v>86.59</v>
      </c>
      <c r="P24" s="141">
        <f t="shared" si="15"/>
        <v>0</v>
      </c>
      <c r="Q24" s="141">
        <f t="shared" si="15"/>
        <v>0.15</v>
      </c>
      <c r="R24" s="141">
        <f t="shared" si="15"/>
        <v>0</v>
      </c>
      <c r="S24" s="141">
        <f t="shared" si="15"/>
        <v>16.240000000000002</v>
      </c>
      <c r="T24" s="141">
        <f t="shared" si="15"/>
        <v>86.59</v>
      </c>
      <c r="U24" s="141">
        <f t="shared" si="10"/>
        <v>2622.42</v>
      </c>
    </row>
    <row r="25" spans="1:21" s="145" customFormat="1" ht="38.25" customHeight="1" x14ac:dyDescent="0.4">
      <c r="A25" s="308" t="s">
        <v>95</v>
      </c>
      <c r="B25" s="309"/>
      <c r="C25" s="141">
        <f>C24+C19+C15+C11</f>
        <v>5012.6660000000002</v>
      </c>
      <c r="D25" s="141">
        <f t="shared" ref="D25:T25" si="16">D24+D19+D15+D11</f>
        <v>1.04</v>
      </c>
      <c r="E25" s="141">
        <f t="shared" si="16"/>
        <v>20.38</v>
      </c>
      <c r="F25" s="141">
        <f t="shared" si="16"/>
        <v>165.41</v>
      </c>
      <c r="G25" s="141">
        <f t="shared" si="16"/>
        <v>395.89799999999997</v>
      </c>
      <c r="H25" s="141">
        <f t="shared" si="16"/>
        <v>4848.2960000000003</v>
      </c>
      <c r="I25" s="141">
        <f t="shared" si="16"/>
        <v>6471.746000000001</v>
      </c>
      <c r="J25" s="141">
        <f t="shared" si="16"/>
        <v>74.168000000000006</v>
      </c>
      <c r="K25" s="141">
        <f t="shared" si="16"/>
        <v>841.73</v>
      </c>
      <c r="L25" s="141">
        <f t="shared" si="16"/>
        <v>0</v>
      </c>
      <c r="M25" s="141">
        <f t="shared" si="16"/>
        <v>19.510000000000002</v>
      </c>
      <c r="N25" s="141">
        <f t="shared" si="16"/>
        <v>6545.9140000000007</v>
      </c>
      <c r="O25" s="141">
        <f t="shared" si="16"/>
        <v>604.29200000000014</v>
      </c>
      <c r="P25" s="141">
        <f t="shared" si="16"/>
        <v>1</v>
      </c>
      <c r="Q25" s="141">
        <f t="shared" si="16"/>
        <v>6.2900000000000009</v>
      </c>
      <c r="R25" s="141">
        <f t="shared" si="16"/>
        <v>0</v>
      </c>
      <c r="S25" s="141">
        <f t="shared" si="16"/>
        <v>19.785</v>
      </c>
      <c r="T25" s="141">
        <f t="shared" si="16"/>
        <v>605.29200000000014</v>
      </c>
      <c r="U25" s="141">
        <f t="shared" si="10"/>
        <v>11999.502</v>
      </c>
    </row>
    <row r="26" spans="1:21" ht="38.25" customHeight="1" x14ac:dyDescent="0.35">
      <c r="A26" s="171">
        <v>15</v>
      </c>
      <c r="B26" s="172" t="s">
        <v>96</v>
      </c>
      <c r="C26" s="139">
        <f>'[4]December 2021'!H26</f>
        <v>1533.3899999999999</v>
      </c>
      <c r="D26" s="139">
        <v>4.51</v>
      </c>
      <c r="E26" s="139">
        <f>'[4]December 2021'!E26+'[4]January 2022'!D26</f>
        <v>87.37</v>
      </c>
      <c r="F26" s="139">
        <v>0</v>
      </c>
      <c r="G26" s="139">
        <f>'[4]December 2021'!G26+'[4]January 2022'!F26</f>
        <v>0</v>
      </c>
      <c r="H26" s="139">
        <f t="shared" si="11"/>
        <v>1537.8999999999999</v>
      </c>
      <c r="I26" s="139">
        <f>'[4]December 2021'!N26</f>
        <v>63.970000000000006</v>
      </c>
      <c r="J26" s="139">
        <f>1.1</f>
        <v>1.1000000000000001</v>
      </c>
      <c r="K26" s="139">
        <f>'[4]December 2021'!K26+'[4]January 2022'!J26</f>
        <v>6.02</v>
      </c>
      <c r="L26" s="139">
        <v>0</v>
      </c>
      <c r="M26" s="139">
        <f>'[4]December 2021'!M26+'[4]January 2022'!L26</f>
        <v>0</v>
      </c>
      <c r="N26" s="139">
        <f t="shared" si="12"/>
        <v>65.070000000000007</v>
      </c>
      <c r="O26" s="139">
        <f>'[4]December 2021'!T26</f>
        <v>16.11</v>
      </c>
      <c r="P26" s="139">
        <v>0</v>
      </c>
      <c r="Q26" s="139">
        <f>'[4]December 2021'!Q26+'[4]January 2022'!P26</f>
        <v>2.62</v>
      </c>
      <c r="R26" s="139">
        <v>0</v>
      </c>
      <c r="S26" s="139">
        <f>'[4]December 2021'!S26+'[4]January 2022'!R26</f>
        <v>0</v>
      </c>
      <c r="T26" s="139">
        <f t="shared" si="13"/>
        <v>16.11</v>
      </c>
      <c r="U26" s="139">
        <f t="shared" si="10"/>
        <v>1619.08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f>'[4]December 2021'!H27</f>
        <v>5548.0750000000016</v>
      </c>
      <c r="D27" s="139">
        <v>9.2100000000000009</v>
      </c>
      <c r="E27" s="139">
        <f>'[4]December 2021'!E27+'[4]January 2022'!D27</f>
        <v>103.14500000000001</v>
      </c>
      <c r="F27" s="139">
        <v>0</v>
      </c>
      <c r="G27" s="139">
        <f>'[4]December 2021'!G27+'[4]January 2022'!F27</f>
        <v>0</v>
      </c>
      <c r="H27" s="139">
        <f t="shared" si="11"/>
        <v>5557.2850000000017</v>
      </c>
      <c r="I27" s="139">
        <f>'[4]December 2021'!N27</f>
        <v>578.32799999999997</v>
      </c>
      <c r="J27" s="139">
        <f>2.61+1.67</f>
        <v>4.2799999999999994</v>
      </c>
      <c r="K27" s="139">
        <f>'[4]December 2021'!K27+'[4]January 2022'!J27</f>
        <v>26.61</v>
      </c>
      <c r="L27" s="139">
        <v>0</v>
      </c>
      <c r="M27" s="139">
        <f>'[4]December 2021'!M27+'[4]January 2022'!L27</f>
        <v>0</v>
      </c>
      <c r="N27" s="139">
        <f t="shared" si="12"/>
        <v>582.60799999999995</v>
      </c>
      <c r="O27" s="139">
        <f>'[4]December 2021'!T27</f>
        <v>33.49</v>
      </c>
      <c r="P27" s="139">
        <v>0</v>
      </c>
      <c r="Q27" s="139">
        <f>'[4]December 2021'!Q27+'[4]January 2022'!P27</f>
        <v>0</v>
      </c>
      <c r="R27" s="139">
        <v>0</v>
      </c>
      <c r="S27" s="139">
        <f>'[4]December 2021'!S27+'[4]January 2022'!R27</f>
        <v>0</v>
      </c>
      <c r="T27" s="139">
        <f t="shared" si="13"/>
        <v>33.49</v>
      </c>
      <c r="U27" s="139">
        <f t="shared" si="10"/>
        <v>6173.3830000000016</v>
      </c>
    </row>
    <row r="28" spans="1:21" s="111" customFormat="1" ht="38.25" customHeight="1" x14ac:dyDescent="0.4">
      <c r="A28" s="313" t="s">
        <v>98</v>
      </c>
      <c r="B28" s="313"/>
      <c r="C28" s="141">
        <f>SUM(C26:C27)</f>
        <v>7081.465000000002</v>
      </c>
      <c r="D28" s="141">
        <f t="shared" ref="D28:T28" si="17">SUM(D26:D27)</f>
        <v>13.72</v>
      </c>
      <c r="E28" s="141">
        <f t="shared" si="17"/>
        <v>190.51500000000001</v>
      </c>
      <c r="F28" s="141">
        <f t="shared" si="17"/>
        <v>0</v>
      </c>
      <c r="G28" s="141">
        <f t="shared" si="17"/>
        <v>0</v>
      </c>
      <c r="H28" s="141">
        <f t="shared" si="17"/>
        <v>7095.1850000000013</v>
      </c>
      <c r="I28" s="141">
        <f t="shared" si="17"/>
        <v>642.298</v>
      </c>
      <c r="J28" s="141">
        <f t="shared" si="17"/>
        <v>5.379999999999999</v>
      </c>
      <c r="K28" s="141">
        <f t="shared" si="17"/>
        <v>32.629999999999995</v>
      </c>
      <c r="L28" s="141">
        <f t="shared" si="17"/>
        <v>0</v>
      </c>
      <c r="M28" s="141">
        <f t="shared" si="17"/>
        <v>0</v>
      </c>
      <c r="N28" s="141">
        <f t="shared" si="17"/>
        <v>647.678</v>
      </c>
      <c r="O28" s="141">
        <f t="shared" si="17"/>
        <v>49.6</v>
      </c>
      <c r="P28" s="141">
        <f t="shared" si="17"/>
        <v>0</v>
      </c>
      <c r="Q28" s="141">
        <f t="shared" si="17"/>
        <v>2.62</v>
      </c>
      <c r="R28" s="141">
        <f t="shared" si="17"/>
        <v>0</v>
      </c>
      <c r="S28" s="141">
        <f t="shared" si="17"/>
        <v>0</v>
      </c>
      <c r="T28" s="141">
        <f t="shared" si="17"/>
        <v>49.6</v>
      </c>
      <c r="U28" s="141">
        <f t="shared" si="10"/>
        <v>7792.4630000000016</v>
      </c>
    </row>
    <row r="29" spans="1:21" ht="38.25" customHeight="1" x14ac:dyDescent="0.35">
      <c r="A29" s="171">
        <v>17</v>
      </c>
      <c r="B29" s="172" t="s">
        <v>99</v>
      </c>
      <c r="C29" s="139">
        <f>'[4]December 2021'!H29</f>
        <v>4447.3280000000004</v>
      </c>
      <c r="D29" s="139">
        <v>2.52</v>
      </c>
      <c r="E29" s="139">
        <f>'[4]December 2021'!E29+'[4]January 2022'!D29</f>
        <v>38.641000000000012</v>
      </c>
      <c r="F29" s="139">
        <v>0</v>
      </c>
      <c r="G29" s="139">
        <f>'[4]December 2021'!G29+'[4]January 2022'!F29</f>
        <v>0</v>
      </c>
      <c r="H29" s="139">
        <f t="shared" si="11"/>
        <v>4449.8480000000009</v>
      </c>
      <c r="I29" s="139">
        <f>'[4]December 2021'!N29</f>
        <v>128.51</v>
      </c>
      <c r="J29" s="139">
        <f>0.03+7.49</f>
        <v>7.5200000000000005</v>
      </c>
      <c r="K29" s="139">
        <f>'[4]December 2021'!K29+'[4]January 2022'!J29</f>
        <v>39.370000000000005</v>
      </c>
      <c r="L29" s="139">
        <v>0</v>
      </c>
      <c r="M29" s="139">
        <f>'[4]December 2021'!M29+'[4]January 2022'!L29</f>
        <v>0</v>
      </c>
      <c r="N29" s="139">
        <f t="shared" si="12"/>
        <v>136.03</v>
      </c>
      <c r="O29" s="139">
        <f>'[4]December 2021'!T29</f>
        <v>57.720000000000006</v>
      </c>
      <c r="P29" s="139">
        <v>0</v>
      </c>
      <c r="Q29" s="139">
        <f>'[4]December 2021'!Q29+'[4]January 2022'!P29</f>
        <v>0</v>
      </c>
      <c r="R29" s="139">
        <v>0</v>
      </c>
      <c r="S29" s="139">
        <f>'[4]December 2021'!S29+'[4]January 2022'!R29</f>
        <v>0</v>
      </c>
      <c r="T29" s="139">
        <f t="shared" si="13"/>
        <v>57.720000000000006</v>
      </c>
      <c r="U29" s="139">
        <f t="shared" si="10"/>
        <v>4643.5980000000009</v>
      </c>
    </row>
    <row r="30" spans="1:21" ht="38.25" customHeight="1" x14ac:dyDescent="0.35">
      <c r="A30" s="171">
        <v>18</v>
      </c>
      <c r="B30" s="172" t="s">
        <v>100</v>
      </c>
      <c r="C30" s="139">
        <f>'[4]December 2021'!H30</f>
        <v>3556.7799999999997</v>
      </c>
      <c r="D30" s="139">
        <v>3.33</v>
      </c>
      <c r="E30" s="139">
        <f>'[4]December 2021'!E30+'[4]January 2022'!D30</f>
        <v>101.539</v>
      </c>
      <c r="F30" s="139">
        <v>0</v>
      </c>
      <c r="G30" s="139">
        <f>'[4]December 2021'!G30+'[4]January 2022'!F30</f>
        <v>0</v>
      </c>
      <c r="H30" s="139">
        <f t="shared" si="11"/>
        <v>3560.1099999999997</v>
      </c>
      <c r="I30" s="139">
        <f>'[4]December 2021'!N30</f>
        <v>26.696999999999999</v>
      </c>
      <c r="J30" s="139">
        <f>5</f>
        <v>5</v>
      </c>
      <c r="K30" s="139">
        <f>'[4]December 2021'!K30+'[4]January 2022'!J30</f>
        <v>10.199999999999999</v>
      </c>
      <c r="L30" s="139">
        <v>0</v>
      </c>
      <c r="M30" s="139">
        <f>'[4]December 2021'!M30+'[4]January 2022'!L30</f>
        <v>0</v>
      </c>
      <c r="N30" s="139">
        <f t="shared" si="12"/>
        <v>31.696999999999999</v>
      </c>
      <c r="O30" s="139">
        <f>'[4]December 2021'!T30</f>
        <v>23.25</v>
      </c>
      <c r="P30" s="139">
        <v>0</v>
      </c>
      <c r="Q30" s="139">
        <f>'[4]December 2021'!Q30+'[4]January 2022'!P30</f>
        <v>0</v>
      </c>
      <c r="R30" s="139">
        <v>0</v>
      </c>
      <c r="S30" s="139">
        <f>'[4]December 2021'!S30+'[4]January 2022'!R30</f>
        <v>0</v>
      </c>
      <c r="T30" s="139">
        <f t="shared" si="13"/>
        <v>23.25</v>
      </c>
      <c r="U30" s="139">
        <f t="shared" si="10"/>
        <v>3615.0569999999998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f>'[4]December 2021'!H31</f>
        <v>4587.3190000000004</v>
      </c>
      <c r="D31" s="139">
        <v>1.54</v>
      </c>
      <c r="E31" s="139">
        <f>'[4]December 2021'!E31+'[4]January 2022'!D31</f>
        <v>111.958</v>
      </c>
      <c r="F31" s="139">
        <v>0</v>
      </c>
      <c r="G31" s="139">
        <f>'[4]December 2021'!G31+'[4]January 2022'!F31</f>
        <v>0</v>
      </c>
      <c r="H31" s="139">
        <f t="shared" si="11"/>
        <v>4588.8590000000004</v>
      </c>
      <c r="I31" s="139">
        <f>'[4]December 2021'!N31</f>
        <v>86.710000000000022</v>
      </c>
      <c r="J31" s="139">
        <v>0</v>
      </c>
      <c r="K31" s="139">
        <f>'[4]December 2021'!K31+'[4]January 2022'!J31</f>
        <v>0.28000000000000003</v>
      </c>
      <c r="L31" s="139">
        <v>0</v>
      </c>
      <c r="M31" s="139">
        <f>'[4]December 2021'!M31+'[4]January 2022'!L31</f>
        <v>0</v>
      </c>
      <c r="N31" s="139">
        <f t="shared" si="12"/>
        <v>86.710000000000022</v>
      </c>
      <c r="O31" s="139">
        <f>'[4]December 2021'!T31</f>
        <v>14.850000000000001</v>
      </c>
      <c r="P31" s="139">
        <v>0</v>
      </c>
      <c r="Q31" s="139">
        <f>'[4]December 2021'!Q31+'[4]January 2022'!P31</f>
        <v>0</v>
      </c>
      <c r="R31" s="139">
        <v>0</v>
      </c>
      <c r="S31" s="139">
        <f>'[4]December 2021'!S31+'[4]January 2022'!R31</f>
        <v>0</v>
      </c>
      <c r="T31" s="139">
        <f t="shared" si="13"/>
        <v>14.850000000000001</v>
      </c>
      <c r="U31" s="139">
        <f t="shared" si="10"/>
        <v>4690.4190000000008</v>
      </c>
    </row>
    <row r="32" spans="1:21" ht="38.25" customHeight="1" x14ac:dyDescent="0.35">
      <c r="A32" s="171">
        <v>20</v>
      </c>
      <c r="B32" s="172" t="s">
        <v>102</v>
      </c>
      <c r="C32" s="139">
        <f>'[4]December 2021'!H32</f>
        <v>2320.5857999999998</v>
      </c>
      <c r="D32" s="139">
        <v>2.87</v>
      </c>
      <c r="E32" s="139">
        <f>'[4]December 2021'!E32+'[4]January 2022'!D32</f>
        <v>27.620000000000005</v>
      </c>
      <c r="F32" s="139">
        <v>0</v>
      </c>
      <c r="G32" s="139">
        <f>'[4]December 2021'!G32+'[4]January 2022'!F32</f>
        <v>0</v>
      </c>
      <c r="H32" s="139">
        <f t="shared" si="11"/>
        <v>2323.4557999999997</v>
      </c>
      <c r="I32" s="139">
        <f>'[4]December 2021'!N32</f>
        <v>359.036</v>
      </c>
      <c r="J32" s="139">
        <f>0.28+10</f>
        <v>10.28</v>
      </c>
      <c r="K32" s="139">
        <f>'[4]December 2021'!K32+'[4]January 2022'!J32</f>
        <v>26.454999999999998</v>
      </c>
      <c r="L32" s="139">
        <v>0</v>
      </c>
      <c r="M32" s="139">
        <f>'[4]December 2021'!M32+'[4]January 2022'!L32</f>
        <v>0</v>
      </c>
      <c r="N32" s="139">
        <f t="shared" si="12"/>
        <v>369.31599999999997</v>
      </c>
      <c r="O32" s="139">
        <f>'[4]December 2021'!T32</f>
        <v>67.551999999999992</v>
      </c>
      <c r="P32" s="139">
        <v>0</v>
      </c>
      <c r="Q32" s="139">
        <f>'[4]December 2021'!Q32+'[4]January 2022'!P32</f>
        <v>7.0000000000000001E-3</v>
      </c>
      <c r="R32" s="139">
        <v>0</v>
      </c>
      <c r="S32" s="139">
        <f>'[4]December 2021'!S32+'[4]January 2022'!R32</f>
        <v>0</v>
      </c>
      <c r="T32" s="139">
        <f t="shared" si="13"/>
        <v>67.551999999999992</v>
      </c>
      <c r="U32" s="139">
        <f t="shared" si="10"/>
        <v>2760.3237999999997</v>
      </c>
    </row>
    <row r="33" spans="1:21" s="111" customFormat="1" ht="38.25" customHeight="1" x14ac:dyDescent="0.4">
      <c r="A33" s="313" t="s">
        <v>99</v>
      </c>
      <c r="B33" s="313"/>
      <c r="C33" s="141">
        <f>SUM(C29:C32)</f>
        <v>14912.0128</v>
      </c>
      <c r="D33" s="141">
        <f t="shared" ref="D33:T33" si="18">SUM(D29:D32)</f>
        <v>10.26</v>
      </c>
      <c r="E33" s="141">
        <f t="shared" si="18"/>
        <v>279.75800000000004</v>
      </c>
      <c r="F33" s="141">
        <f t="shared" si="18"/>
        <v>0</v>
      </c>
      <c r="G33" s="141">
        <f t="shared" si="18"/>
        <v>0</v>
      </c>
      <c r="H33" s="141">
        <f t="shared" si="18"/>
        <v>14922.272800000001</v>
      </c>
      <c r="I33" s="141">
        <f t="shared" si="18"/>
        <v>600.95299999999997</v>
      </c>
      <c r="J33" s="141">
        <f t="shared" si="18"/>
        <v>22.799999999999997</v>
      </c>
      <c r="K33" s="141">
        <f t="shared" si="18"/>
        <v>76.305000000000007</v>
      </c>
      <c r="L33" s="141">
        <f t="shared" si="18"/>
        <v>0</v>
      </c>
      <c r="M33" s="141">
        <f t="shared" si="18"/>
        <v>0</v>
      </c>
      <c r="N33" s="141">
        <f t="shared" si="18"/>
        <v>623.75299999999993</v>
      </c>
      <c r="O33" s="141">
        <f t="shared" si="18"/>
        <v>163.37199999999999</v>
      </c>
      <c r="P33" s="141">
        <f t="shared" si="18"/>
        <v>0</v>
      </c>
      <c r="Q33" s="141">
        <f t="shared" si="18"/>
        <v>7.0000000000000001E-3</v>
      </c>
      <c r="R33" s="141">
        <f t="shared" si="18"/>
        <v>0</v>
      </c>
      <c r="S33" s="141">
        <f t="shared" si="18"/>
        <v>0</v>
      </c>
      <c r="T33" s="141">
        <f t="shared" si="18"/>
        <v>163.37199999999999</v>
      </c>
      <c r="U33" s="141">
        <f t="shared" si="10"/>
        <v>15709.397800000001</v>
      </c>
    </row>
    <row r="34" spans="1:21" ht="38.25" customHeight="1" x14ac:dyDescent="0.35">
      <c r="A34" s="171">
        <v>21</v>
      </c>
      <c r="B34" s="172" t="s">
        <v>103</v>
      </c>
      <c r="C34" s="139">
        <f>'[4]December 2021'!H34</f>
        <v>4417.4900000000007</v>
      </c>
      <c r="D34" s="139">
        <v>4.95</v>
      </c>
      <c r="E34" s="139">
        <f>'[4]December 2021'!E34+'[4]January 2022'!D34</f>
        <v>50.15</v>
      </c>
      <c r="F34" s="139">
        <v>0</v>
      </c>
      <c r="G34" s="139">
        <f>'[4]December 2021'!G34+'[4]January 2022'!F34</f>
        <v>0</v>
      </c>
      <c r="H34" s="139">
        <f t="shared" si="11"/>
        <v>4422.4400000000005</v>
      </c>
      <c r="I34" s="139">
        <f>'[4]December 2021'!N34</f>
        <v>0</v>
      </c>
      <c r="J34" s="139">
        <v>0</v>
      </c>
      <c r="K34" s="139">
        <f>'[4]December 2021'!K34+'[4]January 2022'!J34</f>
        <v>0</v>
      </c>
      <c r="L34" s="139">
        <v>0</v>
      </c>
      <c r="M34" s="139">
        <f>'[4]December 2021'!M34+'[4]January 2022'!L34</f>
        <v>0</v>
      </c>
      <c r="N34" s="139">
        <f t="shared" si="12"/>
        <v>0</v>
      </c>
      <c r="O34" s="139">
        <f>'[4]December 2021'!T34</f>
        <v>0</v>
      </c>
      <c r="P34" s="139">
        <v>0</v>
      </c>
      <c r="Q34" s="139">
        <f>'[4]December 2021'!Q34+'[4]January 2022'!P34</f>
        <v>0</v>
      </c>
      <c r="R34" s="139">
        <v>0</v>
      </c>
      <c r="S34" s="139">
        <f>'[4]December 2021'!S34+'[4]January 2022'!R34</f>
        <v>0</v>
      </c>
      <c r="T34" s="139">
        <f t="shared" si="13"/>
        <v>0</v>
      </c>
      <c r="U34" s="139">
        <f t="shared" si="10"/>
        <v>4422.4400000000005</v>
      </c>
    </row>
    <row r="35" spans="1:21" ht="38.25" customHeight="1" x14ac:dyDescent="0.35">
      <c r="A35" s="171">
        <v>22</v>
      </c>
      <c r="B35" s="172" t="s">
        <v>104</v>
      </c>
      <c r="C35" s="139">
        <f>'[4]December 2021'!H35</f>
        <v>6029.1799999999976</v>
      </c>
      <c r="D35" s="139">
        <v>35.11</v>
      </c>
      <c r="E35" s="139">
        <f>'[4]December 2021'!E35+'[4]January 2022'!D35</f>
        <v>177.67000000000002</v>
      </c>
      <c r="F35" s="139">
        <v>0</v>
      </c>
      <c r="G35" s="139">
        <f>'[4]December 2021'!G35+'[4]January 2022'!F35</f>
        <v>0</v>
      </c>
      <c r="H35" s="139">
        <f t="shared" si="11"/>
        <v>6064.2899999999972</v>
      </c>
      <c r="I35" s="139">
        <f>'[4]December 2021'!N35</f>
        <v>6.92</v>
      </c>
      <c r="J35" s="139">
        <v>0</v>
      </c>
      <c r="K35" s="139">
        <f>'[4]December 2021'!K35+'[4]January 2022'!J35</f>
        <v>2.92</v>
      </c>
      <c r="L35" s="139">
        <v>0</v>
      </c>
      <c r="M35" s="139">
        <f>'[4]December 2021'!M35+'[4]January 2022'!L35</f>
        <v>0</v>
      </c>
      <c r="N35" s="139">
        <f t="shared" si="12"/>
        <v>6.92</v>
      </c>
      <c r="O35" s="139">
        <f>'[4]December 2021'!T35</f>
        <v>49.160000000000004</v>
      </c>
      <c r="P35" s="139">
        <f>4.63</f>
        <v>4.63</v>
      </c>
      <c r="Q35" s="139">
        <f>'[4]December 2021'!Q35+'[4]January 2022'!P35</f>
        <v>9.26</v>
      </c>
      <c r="R35" s="139">
        <v>0</v>
      </c>
      <c r="S35" s="139">
        <f>'[4]December 2021'!S35+'[4]January 2022'!R35</f>
        <v>0</v>
      </c>
      <c r="T35" s="139">
        <f t="shared" si="13"/>
        <v>53.790000000000006</v>
      </c>
      <c r="U35" s="139">
        <f t="shared" si="10"/>
        <v>6124.9999999999973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f>'[4]December 2021'!H36</f>
        <v>3375.8999999999996</v>
      </c>
      <c r="D36" s="139">
        <v>16.82</v>
      </c>
      <c r="E36" s="139">
        <f>'[4]December 2021'!E36+'[4]January 2022'!D36</f>
        <v>63.48</v>
      </c>
      <c r="F36" s="139">
        <v>0</v>
      </c>
      <c r="G36" s="139">
        <f>'[4]December 2021'!G36+'[4]January 2022'!F36</f>
        <v>0</v>
      </c>
      <c r="H36" s="139">
        <f t="shared" si="11"/>
        <v>3392.72</v>
      </c>
      <c r="I36" s="139">
        <f>'[4]December 2021'!N36</f>
        <v>25.05000000000004</v>
      </c>
      <c r="J36" s="139">
        <f>4.63</f>
        <v>4.63</v>
      </c>
      <c r="K36" s="139">
        <f>'[4]December 2021'!K36+'[4]January 2022'!J36</f>
        <v>4.63</v>
      </c>
      <c r="L36" s="139">
        <v>0</v>
      </c>
      <c r="M36" s="139">
        <f>'[4]December 2021'!M36+'[4]January 2022'!L36</f>
        <v>0</v>
      </c>
      <c r="N36" s="139">
        <f t="shared" si="12"/>
        <v>29.680000000000039</v>
      </c>
      <c r="O36" s="139">
        <f>'[4]December 2021'!T36</f>
        <v>5.62</v>
      </c>
      <c r="P36" s="139">
        <f>3.42</f>
        <v>3.42</v>
      </c>
      <c r="Q36" s="139">
        <f>'[4]December 2021'!Q36+'[4]January 2022'!P36</f>
        <v>6.84</v>
      </c>
      <c r="R36" s="139">
        <v>0</v>
      </c>
      <c r="S36" s="139">
        <f>'[4]December 2021'!S36+'[4]January 2022'!R36</f>
        <v>0</v>
      </c>
      <c r="T36" s="139">
        <f t="shared" si="13"/>
        <v>9.0399999999999991</v>
      </c>
      <c r="U36" s="139">
        <f t="shared" si="10"/>
        <v>3431.44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f>'[4]December 2021'!H37</f>
        <v>4773.1199999999972</v>
      </c>
      <c r="D37" s="139">
        <v>4.0999999999999996</v>
      </c>
      <c r="E37" s="139">
        <f>'[4]December 2021'!E37+'[4]January 2022'!D37</f>
        <v>75.779999999999987</v>
      </c>
      <c r="F37" s="139">
        <v>0</v>
      </c>
      <c r="G37" s="139">
        <f>'[4]December 2021'!G37+'[4]January 2022'!F37</f>
        <v>0</v>
      </c>
      <c r="H37" s="139">
        <f t="shared" si="11"/>
        <v>4777.2199999999975</v>
      </c>
      <c r="I37" s="139">
        <f>'[4]December 2021'!N37</f>
        <v>12.430000000000001</v>
      </c>
      <c r="J37" s="139">
        <v>1.06</v>
      </c>
      <c r="K37" s="139">
        <f>'[4]December 2021'!K37+'[4]January 2022'!J37</f>
        <v>13.49</v>
      </c>
      <c r="L37" s="139">
        <v>0</v>
      </c>
      <c r="M37" s="139">
        <f>'[4]December 2021'!M37+'[4]January 2022'!L37</f>
        <v>0</v>
      </c>
      <c r="N37" s="139">
        <f t="shared" si="12"/>
        <v>13.490000000000002</v>
      </c>
      <c r="O37" s="139">
        <f>'[4]December 2021'!T37</f>
        <v>2.04</v>
      </c>
      <c r="P37" s="139">
        <v>1.06</v>
      </c>
      <c r="Q37" s="139">
        <f>'[4]December 2021'!Q37+'[4]January 2022'!P37</f>
        <v>2.06</v>
      </c>
      <c r="R37" s="139">
        <v>0</v>
      </c>
      <c r="S37" s="139">
        <f>'[4]December 2021'!S37+'[4]January 2022'!R37</f>
        <v>0</v>
      </c>
      <c r="T37" s="139">
        <f t="shared" si="13"/>
        <v>3.1</v>
      </c>
      <c r="U37" s="139">
        <f t="shared" si="10"/>
        <v>4793.8099999999977</v>
      </c>
    </row>
    <row r="38" spans="1:21" s="111" customFormat="1" ht="38.25" customHeight="1" x14ac:dyDescent="0.4">
      <c r="A38" s="313" t="s">
        <v>107</v>
      </c>
      <c r="B38" s="313"/>
      <c r="C38" s="141">
        <f>SUM(C34:C37)</f>
        <v>18595.689999999995</v>
      </c>
      <c r="D38" s="141">
        <f t="shared" ref="D38:T38" si="19">SUM(D34:D37)</f>
        <v>60.980000000000004</v>
      </c>
      <c r="E38" s="141">
        <f t="shared" si="19"/>
        <v>367.08</v>
      </c>
      <c r="F38" s="141">
        <f t="shared" si="19"/>
        <v>0</v>
      </c>
      <c r="G38" s="141">
        <f t="shared" si="19"/>
        <v>0</v>
      </c>
      <c r="H38" s="141">
        <f t="shared" si="19"/>
        <v>18656.669999999995</v>
      </c>
      <c r="I38" s="141">
        <f t="shared" si="19"/>
        <v>44.400000000000041</v>
      </c>
      <c r="J38" s="141">
        <f t="shared" si="19"/>
        <v>5.6899999999999995</v>
      </c>
      <c r="K38" s="141">
        <f t="shared" si="19"/>
        <v>21.04</v>
      </c>
      <c r="L38" s="141">
        <f t="shared" si="19"/>
        <v>0</v>
      </c>
      <c r="M38" s="141">
        <f t="shared" si="19"/>
        <v>0</v>
      </c>
      <c r="N38" s="141">
        <f t="shared" si="19"/>
        <v>50.090000000000039</v>
      </c>
      <c r="O38" s="141">
        <f t="shared" si="19"/>
        <v>56.82</v>
      </c>
      <c r="P38" s="141">
        <f t="shared" si="19"/>
        <v>9.1100000000000012</v>
      </c>
      <c r="Q38" s="141">
        <f t="shared" si="19"/>
        <v>18.16</v>
      </c>
      <c r="R38" s="141">
        <f t="shared" si="19"/>
        <v>0</v>
      </c>
      <c r="S38" s="141">
        <f t="shared" si="19"/>
        <v>0</v>
      </c>
      <c r="T38" s="141">
        <f t="shared" si="19"/>
        <v>65.930000000000007</v>
      </c>
      <c r="U38" s="141">
        <f t="shared" si="10"/>
        <v>18772.689999999995</v>
      </c>
    </row>
    <row r="39" spans="1:21" s="145" customFormat="1" ht="38.25" customHeight="1" x14ac:dyDescent="0.4">
      <c r="A39" s="313" t="s">
        <v>108</v>
      </c>
      <c r="B39" s="313"/>
      <c r="C39" s="141">
        <f>C38+C33+C28</f>
        <v>40589.167800000003</v>
      </c>
      <c r="D39" s="141">
        <f t="shared" ref="D39:T39" si="20">D38+D33+D28</f>
        <v>84.960000000000008</v>
      </c>
      <c r="E39" s="141">
        <f t="shared" si="20"/>
        <v>837.35299999999995</v>
      </c>
      <c r="F39" s="141">
        <f t="shared" si="20"/>
        <v>0</v>
      </c>
      <c r="G39" s="141">
        <f t="shared" si="20"/>
        <v>0</v>
      </c>
      <c r="H39" s="141">
        <f t="shared" si="20"/>
        <v>40674.127800000002</v>
      </c>
      <c r="I39" s="141">
        <f t="shared" si="20"/>
        <v>1287.6510000000001</v>
      </c>
      <c r="J39" s="141">
        <f t="shared" si="20"/>
        <v>33.86999999999999</v>
      </c>
      <c r="K39" s="141">
        <f t="shared" si="20"/>
        <v>129.97499999999999</v>
      </c>
      <c r="L39" s="141">
        <f t="shared" si="20"/>
        <v>0</v>
      </c>
      <c r="M39" s="141">
        <f t="shared" si="20"/>
        <v>0</v>
      </c>
      <c r="N39" s="141">
        <f t="shared" si="20"/>
        <v>1321.521</v>
      </c>
      <c r="O39" s="141">
        <f t="shared" si="20"/>
        <v>269.79199999999997</v>
      </c>
      <c r="P39" s="141">
        <f t="shared" si="20"/>
        <v>9.1100000000000012</v>
      </c>
      <c r="Q39" s="141">
        <f t="shared" si="20"/>
        <v>20.787000000000003</v>
      </c>
      <c r="R39" s="141">
        <f t="shared" si="20"/>
        <v>0</v>
      </c>
      <c r="S39" s="141">
        <f t="shared" si="20"/>
        <v>0</v>
      </c>
      <c r="T39" s="141">
        <f t="shared" si="20"/>
        <v>278.90199999999999</v>
      </c>
      <c r="U39" s="141">
        <f t="shared" si="10"/>
        <v>42274.550800000005</v>
      </c>
    </row>
    <row r="40" spans="1:21" ht="38.25" customHeight="1" x14ac:dyDescent="0.35">
      <c r="A40" s="171">
        <v>25</v>
      </c>
      <c r="B40" s="172" t="s">
        <v>109</v>
      </c>
      <c r="C40" s="139">
        <f>'[4]December 2021'!H40</f>
        <v>11188.163999999999</v>
      </c>
      <c r="D40" s="139">
        <v>42.41</v>
      </c>
      <c r="E40" s="139">
        <f>'[4]December 2021'!E40+'[4]January 2022'!D40</f>
        <v>235.714</v>
      </c>
      <c r="F40" s="139">
        <v>0</v>
      </c>
      <c r="G40" s="139">
        <f>'[4]December 2021'!G40+'[4]January 2022'!F40</f>
        <v>0</v>
      </c>
      <c r="H40" s="139">
        <f t="shared" si="11"/>
        <v>11230.573999999999</v>
      </c>
      <c r="I40" s="139">
        <f>'[4]December 2021'!N40</f>
        <v>0</v>
      </c>
      <c r="J40" s="139">
        <v>0</v>
      </c>
      <c r="K40" s="139">
        <f>'[4]December 2021'!K40+'[4]January 2022'!J40</f>
        <v>0</v>
      </c>
      <c r="L40" s="139">
        <v>0</v>
      </c>
      <c r="M40" s="139">
        <f>'[4]December 2021'!M40+'[4]January 2022'!L40</f>
        <v>0</v>
      </c>
      <c r="N40" s="139">
        <f t="shared" si="12"/>
        <v>0</v>
      </c>
      <c r="O40" s="139">
        <f>'[4]December 2021'!T40</f>
        <v>0</v>
      </c>
      <c r="P40" s="139">
        <v>0</v>
      </c>
      <c r="Q40" s="139">
        <f>'[4]December 2021'!Q40+'[4]January 2022'!P40</f>
        <v>0</v>
      </c>
      <c r="R40" s="139">
        <v>0</v>
      </c>
      <c r="S40" s="139">
        <f>'[4]December 2021'!S40+'[4]January 2022'!R40</f>
        <v>0</v>
      </c>
      <c r="T40" s="139">
        <f t="shared" si="13"/>
        <v>0</v>
      </c>
      <c r="U40" s="139">
        <f t="shared" si="10"/>
        <v>11230.573999999999</v>
      </c>
    </row>
    <row r="41" spans="1:21" ht="38.25" customHeight="1" x14ac:dyDescent="0.35">
      <c r="A41" s="171">
        <v>26</v>
      </c>
      <c r="B41" s="172" t="s">
        <v>110</v>
      </c>
      <c r="C41" s="139">
        <f>'[4]December 2021'!H41</f>
        <v>7391.5169999999953</v>
      </c>
      <c r="D41" s="139">
        <v>24.61</v>
      </c>
      <c r="E41" s="139">
        <f>'[4]December 2021'!E41+'[4]January 2022'!D41</f>
        <v>344.44099999999997</v>
      </c>
      <c r="F41" s="139">
        <v>0</v>
      </c>
      <c r="G41" s="139">
        <f>'[4]December 2021'!G41+'[4]January 2022'!F41</f>
        <v>0</v>
      </c>
      <c r="H41" s="139">
        <f t="shared" si="11"/>
        <v>7416.126999999995</v>
      </c>
      <c r="I41" s="139">
        <f>'[4]December 2021'!N41</f>
        <v>0</v>
      </c>
      <c r="J41" s="139">
        <v>0</v>
      </c>
      <c r="K41" s="139">
        <f>'[4]December 2021'!K41+'[4]January 2022'!J41</f>
        <v>0</v>
      </c>
      <c r="L41" s="139">
        <v>0</v>
      </c>
      <c r="M41" s="139">
        <f>'[4]December 2021'!M41+'[4]January 2022'!L41</f>
        <v>0</v>
      </c>
      <c r="N41" s="139">
        <f t="shared" si="12"/>
        <v>0</v>
      </c>
      <c r="O41" s="139">
        <f>'[4]December 2021'!T41</f>
        <v>0</v>
      </c>
      <c r="P41" s="139">
        <v>0</v>
      </c>
      <c r="Q41" s="139">
        <f>'[4]December 2021'!Q41+'[4]January 2022'!P41</f>
        <v>0</v>
      </c>
      <c r="R41" s="139">
        <v>0</v>
      </c>
      <c r="S41" s="139">
        <f>'[4]December 2021'!S41+'[4]January 2022'!R41</f>
        <v>0</v>
      </c>
      <c r="T41" s="139">
        <f t="shared" si="13"/>
        <v>0</v>
      </c>
      <c r="U41" s="139">
        <f t="shared" si="10"/>
        <v>7416.126999999995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f>'[4]December 2021'!H42</f>
        <v>13715.448999999997</v>
      </c>
      <c r="D42" s="139">
        <v>33</v>
      </c>
      <c r="E42" s="139">
        <f>'[4]December 2021'!E42+'[4]January 2022'!D42</f>
        <v>234.333</v>
      </c>
      <c r="F42" s="139">
        <v>0</v>
      </c>
      <c r="G42" s="139">
        <f>'[4]December 2021'!G42+'[4]January 2022'!F42</f>
        <v>0</v>
      </c>
      <c r="H42" s="139">
        <f t="shared" si="11"/>
        <v>13748.448999999997</v>
      </c>
      <c r="I42" s="139">
        <f>'[4]December 2021'!N42</f>
        <v>0</v>
      </c>
      <c r="J42" s="139">
        <v>0</v>
      </c>
      <c r="K42" s="139">
        <f>'[4]December 2021'!K42+'[4]January 2022'!J42</f>
        <v>0</v>
      </c>
      <c r="L42" s="139">
        <v>0</v>
      </c>
      <c r="M42" s="139">
        <f>'[4]December 2021'!M42+'[4]January 2022'!L42</f>
        <v>0</v>
      </c>
      <c r="N42" s="139">
        <f t="shared" si="12"/>
        <v>0</v>
      </c>
      <c r="O42" s="139">
        <f>'[4]December 2021'!T42</f>
        <v>39.019999999999996</v>
      </c>
      <c r="P42" s="139">
        <v>0</v>
      </c>
      <c r="Q42" s="139">
        <f>'[4]December 2021'!Q42+'[4]January 2022'!P42</f>
        <v>5.67</v>
      </c>
      <c r="R42" s="139">
        <v>0</v>
      </c>
      <c r="S42" s="139">
        <f>'[4]December 2021'!S42+'[4]January 2022'!R42</f>
        <v>0</v>
      </c>
      <c r="T42" s="139">
        <f t="shared" si="13"/>
        <v>39.019999999999996</v>
      </c>
      <c r="U42" s="139">
        <f t="shared" si="10"/>
        <v>13787.468999999997</v>
      </c>
    </row>
    <row r="43" spans="1:21" ht="38.25" customHeight="1" x14ac:dyDescent="0.35">
      <c r="A43" s="171">
        <v>28</v>
      </c>
      <c r="B43" s="172" t="s">
        <v>112</v>
      </c>
      <c r="C43" s="139">
        <f>'[4]December 2021'!H43</f>
        <v>3949.2100000000009</v>
      </c>
      <c r="D43" s="139">
        <v>6.57</v>
      </c>
      <c r="E43" s="139">
        <f>'[4]December 2021'!E43+'[4]January 2022'!D43</f>
        <v>89.74199999999999</v>
      </c>
      <c r="F43" s="139">
        <v>0</v>
      </c>
      <c r="G43" s="139">
        <f>'[4]December 2021'!G43+'[4]January 2022'!F43</f>
        <v>0</v>
      </c>
      <c r="H43" s="139">
        <f t="shared" si="11"/>
        <v>3955.7800000000011</v>
      </c>
      <c r="I43" s="139">
        <f>'[4]December 2021'!N43</f>
        <v>0</v>
      </c>
      <c r="J43" s="139">
        <v>0</v>
      </c>
      <c r="K43" s="139">
        <f>'[4]December 2021'!K43+'[4]January 2022'!J43</f>
        <v>0</v>
      </c>
      <c r="L43" s="139">
        <v>0</v>
      </c>
      <c r="M43" s="139">
        <f>'[4]December 2021'!M43+'[4]January 2022'!L43</f>
        <v>0</v>
      </c>
      <c r="N43" s="139">
        <f t="shared" si="12"/>
        <v>0</v>
      </c>
      <c r="O43" s="139">
        <f>'[4]December 2021'!T43</f>
        <v>0</v>
      </c>
      <c r="P43" s="139">
        <v>0</v>
      </c>
      <c r="Q43" s="139">
        <f>'[4]December 2021'!Q43+'[4]January 2022'!P43</f>
        <v>0</v>
      </c>
      <c r="R43" s="139">
        <v>0</v>
      </c>
      <c r="S43" s="139">
        <f>'[4]December 2021'!S43+'[4]January 2022'!R43</f>
        <v>0</v>
      </c>
      <c r="T43" s="139">
        <f t="shared" si="13"/>
        <v>0</v>
      </c>
      <c r="U43" s="139">
        <f t="shared" si="10"/>
        <v>3955.7800000000011</v>
      </c>
    </row>
    <row r="44" spans="1:21" s="111" customFormat="1" ht="38.25" customHeight="1" x14ac:dyDescent="0.4">
      <c r="A44" s="313" t="s">
        <v>109</v>
      </c>
      <c r="B44" s="313"/>
      <c r="C44" s="141">
        <f>SUM(C40:C43)</f>
        <v>36244.339999999989</v>
      </c>
      <c r="D44" s="141">
        <f t="shared" ref="D44:T44" si="21">SUM(D40:D43)</f>
        <v>106.59</v>
      </c>
      <c r="E44" s="141">
        <f t="shared" si="21"/>
        <v>904.2299999999999</v>
      </c>
      <c r="F44" s="141">
        <f t="shared" si="21"/>
        <v>0</v>
      </c>
      <c r="G44" s="141">
        <f t="shared" si="21"/>
        <v>0</v>
      </c>
      <c r="H44" s="141">
        <f t="shared" si="21"/>
        <v>36350.929999999993</v>
      </c>
      <c r="I44" s="141">
        <f t="shared" si="21"/>
        <v>0</v>
      </c>
      <c r="J44" s="141">
        <f t="shared" si="21"/>
        <v>0</v>
      </c>
      <c r="K44" s="141">
        <f t="shared" si="21"/>
        <v>0</v>
      </c>
      <c r="L44" s="141">
        <f t="shared" si="21"/>
        <v>0</v>
      </c>
      <c r="M44" s="141">
        <f t="shared" si="21"/>
        <v>0</v>
      </c>
      <c r="N44" s="141">
        <f t="shared" si="21"/>
        <v>0</v>
      </c>
      <c r="O44" s="141">
        <f t="shared" si="21"/>
        <v>39.019999999999996</v>
      </c>
      <c r="P44" s="141">
        <f t="shared" si="21"/>
        <v>0</v>
      </c>
      <c r="Q44" s="141">
        <f t="shared" si="21"/>
        <v>5.67</v>
      </c>
      <c r="R44" s="141">
        <f t="shared" si="21"/>
        <v>0</v>
      </c>
      <c r="S44" s="141">
        <f t="shared" si="21"/>
        <v>0</v>
      </c>
      <c r="T44" s="141">
        <f t="shared" si="21"/>
        <v>39.019999999999996</v>
      </c>
      <c r="U44" s="141">
        <f t="shared" si="10"/>
        <v>36389.94999999999</v>
      </c>
    </row>
    <row r="45" spans="1:21" ht="38.25" customHeight="1" x14ac:dyDescent="0.35">
      <c r="A45" s="171">
        <v>29</v>
      </c>
      <c r="B45" s="172" t="s">
        <v>113</v>
      </c>
      <c r="C45" s="139">
        <f>'[4]December 2021'!H45</f>
        <v>8332.4621000000025</v>
      </c>
      <c r="D45" s="139">
        <f>10.96+5.3</f>
        <v>16.260000000000002</v>
      </c>
      <c r="E45" s="139">
        <f>'[4]December 2021'!E45+'[4]January 2022'!D45</f>
        <v>266.74</v>
      </c>
      <c r="F45" s="139">
        <v>0</v>
      </c>
      <c r="G45" s="139">
        <f>'[4]December 2021'!G45+'[4]January 2022'!F45</f>
        <v>6.46</v>
      </c>
      <c r="H45" s="139">
        <f t="shared" si="11"/>
        <v>8348.7221000000027</v>
      </c>
      <c r="I45" s="139">
        <f>'[4]December 2021'!N45</f>
        <v>8.66</v>
      </c>
      <c r="J45" s="139">
        <f>0.03+2.65</f>
        <v>2.6799999999999997</v>
      </c>
      <c r="K45" s="139">
        <f>'[4]December 2021'!K45+'[4]January 2022'!J45</f>
        <v>5.76</v>
      </c>
      <c r="L45" s="139">
        <v>0</v>
      </c>
      <c r="M45" s="139">
        <f>'[4]December 2021'!M45+'[4]January 2022'!L45</f>
        <v>0</v>
      </c>
      <c r="N45" s="139">
        <f t="shared" si="12"/>
        <v>11.34</v>
      </c>
      <c r="O45" s="139">
        <f>'[4]December 2021'!T45</f>
        <v>14.75</v>
      </c>
      <c r="P45" s="139">
        <v>0</v>
      </c>
      <c r="Q45" s="139">
        <f>'[4]December 2021'!Q45+'[4]January 2022'!P45</f>
        <v>0.32</v>
      </c>
      <c r="R45" s="139">
        <v>0</v>
      </c>
      <c r="S45" s="139">
        <f>'[4]December 2021'!S45+'[4]January 2022'!R45</f>
        <v>0</v>
      </c>
      <c r="T45" s="139">
        <f t="shared" si="13"/>
        <v>14.75</v>
      </c>
      <c r="U45" s="139">
        <f t="shared" si="10"/>
        <v>8374.8121000000028</v>
      </c>
    </row>
    <row r="46" spans="1:21" ht="38.25" customHeight="1" x14ac:dyDescent="0.35">
      <c r="A46" s="171">
        <v>30</v>
      </c>
      <c r="B46" s="172" t="s">
        <v>114</v>
      </c>
      <c r="C46" s="139">
        <f>'[4]December 2021'!H46</f>
        <v>7662.0050000000019</v>
      </c>
      <c r="D46" s="139">
        <v>16.899999999999999</v>
      </c>
      <c r="E46" s="139">
        <f>'[4]December 2021'!E46+'[4]January 2022'!D46</f>
        <v>180.98</v>
      </c>
      <c r="F46" s="139">
        <v>0</v>
      </c>
      <c r="G46" s="139">
        <f>'[4]December 2021'!G46+'[4]January 2022'!F46</f>
        <v>0</v>
      </c>
      <c r="H46" s="139">
        <f t="shared" si="11"/>
        <v>7678.9050000000016</v>
      </c>
      <c r="I46" s="139">
        <f>'[4]December 2021'!N46</f>
        <v>0</v>
      </c>
      <c r="J46" s="139">
        <v>0</v>
      </c>
      <c r="K46" s="139">
        <f>'[4]December 2021'!K46+'[4]January 2022'!J46</f>
        <v>0</v>
      </c>
      <c r="L46" s="139">
        <v>0</v>
      </c>
      <c r="M46" s="139">
        <f>'[4]December 2021'!M46+'[4]January 2022'!L46</f>
        <v>0</v>
      </c>
      <c r="N46" s="139">
        <f t="shared" si="12"/>
        <v>0</v>
      </c>
      <c r="O46" s="139">
        <f>'[4]December 2021'!T46</f>
        <v>0</v>
      </c>
      <c r="P46" s="139">
        <v>0</v>
      </c>
      <c r="Q46" s="139">
        <f>'[4]December 2021'!Q46+'[4]January 2022'!P46</f>
        <v>0</v>
      </c>
      <c r="R46" s="139">
        <v>0</v>
      </c>
      <c r="S46" s="139">
        <f>'[4]December 2021'!S46+'[4]January 2022'!R46</f>
        <v>0</v>
      </c>
      <c r="T46" s="139">
        <f t="shared" si="13"/>
        <v>0</v>
      </c>
      <c r="U46" s="139">
        <f t="shared" si="10"/>
        <v>7678.9050000000016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f>'[4]December 2021'!H47</f>
        <v>8660.35</v>
      </c>
      <c r="D47" s="139">
        <f>39.24+2.04</f>
        <v>41.28</v>
      </c>
      <c r="E47" s="139">
        <f>'[4]December 2021'!E47+'[4]January 2022'!D47</f>
        <v>282.39999999999998</v>
      </c>
      <c r="F47" s="139">
        <v>0</v>
      </c>
      <c r="G47" s="139">
        <f>'[4]December 2021'!G47+'[4]January 2022'!F47</f>
        <v>0</v>
      </c>
      <c r="H47" s="139">
        <f t="shared" si="11"/>
        <v>8701.630000000001</v>
      </c>
      <c r="I47" s="139">
        <f>'[4]December 2021'!N47</f>
        <v>3.13</v>
      </c>
      <c r="J47" s="139">
        <v>0</v>
      </c>
      <c r="K47" s="139">
        <f>'[4]December 2021'!K47+'[4]January 2022'!J47</f>
        <v>0</v>
      </c>
      <c r="L47" s="139">
        <v>0</v>
      </c>
      <c r="M47" s="139">
        <f>'[4]December 2021'!M47+'[4]January 2022'!L47</f>
        <v>0</v>
      </c>
      <c r="N47" s="139">
        <f t="shared" si="12"/>
        <v>3.13</v>
      </c>
      <c r="O47" s="139">
        <f>'[4]December 2021'!T47</f>
        <v>0.03</v>
      </c>
      <c r="P47" s="139">
        <v>0</v>
      </c>
      <c r="Q47" s="139">
        <f>'[4]December 2021'!Q47+'[4]January 2022'!P47</f>
        <v>0</v>
      </c>
      <c r="R47" s="139">
        <v>0</v>
      </c>
      <c r="S47" s="139">
        <f>'[4]December 2021'!S47+'[4]January 2022'!R47</f>
        <v>0</v>
      </c>
      <c r="T47" s="139">
        <f t="shared" si="13"/>
        <v>0.03</v>
      </c>
      <c r="U47" s="139">
        <f t="shared" si="10"/>
        <v>8704.7900000000009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f>'[4]December 2021'!H48</f>
        <v>8109.0689999999995</v>
      </c>
      <c r="D48" s="139">
        <v>12.71</v>
      </c>
      <c r="E48" s="139">
        <f>'[4]December 2021'!E48+'[4]January 2022'!D48</f>
        <v>501.34899999999999</v>
      </c>
      <c r="F48" s="139">
        <v>0</v>
      </c>
      <c r="G48" s="139">
        <f>'[4]December 2021'!G48+'[4]January 2022'!F48</f>
        <v>0</v>
      </c>
      <c r="H48" s="139">
        <f t="shared" si="11"/>
        <v>8121.7789999999995</v>
      </c>
      <c r="I48" s="139">
        <f>'[4]December 2021'!N48</f>
        <v>1.6349999999999998</v>
      </c>
      <c r="J48" s="139">
        <f>1.13</f>
        <v>1.1299999999999999</v>
      </c>
      <c r="K48" s="139">
        <f>'[4]December 2021'!K48+'[4]January 2022'!J48</f>
        <v>2.2599999999999998</v>
      </c>
      <c r="L48" s="139">
        <v>0</v>
      </c>
      <c r="M48" s="139">
        <f>'[4]December 2021'!M48+'[4]January 2022'!L48</f>
        <v>0</v>
      </c>
      <c r="N48" s="139">
        <f t="shared" si="12"/>
        <v>2.7649999999999997</v>
      </c>
      <c r="O48" s="139">
        <f>'[4]December 2021'!T48</f>
        <v>0</v>
      </c>
      <c r="P48" s="139">
        <v>0</v>
      </c>
      <c r="Q48" s="139">
        <f>'[4]December 2021'!Q48+'[4]January 2022'!P48</f>
        <v>0</v>
      </c>
      <c r="R48" s="139">
        <v>0</v>
      </c>
      <c r="S48" s="139">
        <f>'[4]December 2021'!S48+'[4]January 2022'!R48</f>
        <v>0</v>
      </c>
      <c r="T48" s="139">
        <f t="shared" si="13"/>
        <v>0</v>
      </c>
      <c r="U48" s="139">
        <f t="shared" si="10"/>
        <v>8124.5439999999999</v>
      </c>
    </row>
    <row r="49" spans="1:21" s="111" customFormat="1" ht="38.25" customHeight="1" x14ac:dyDescent="0.4">
      <c r="A49" s="313" t="s">
        <v>117</v>
      </c>
      <c r="B49" s="313"/>
      <c r="C49" s="141">
        <f>SUM(C45:C48)</f>
        <v>32763.886100000007</v>
      </c>
      <c r="D49" s="141">
        <f t="shared" ref="D49:T49" si="22">SUM(D45:D48)</f>
        <v>87.15</v>
      </c>
      <c r="E49" s="141">
        <f t="shared" si="22"/>
        <v>1231.4690000000001</v>
      </c>
      <c r="F49" s="141">
        <f t="shared" si="22"/>
        <v>0</v>
      </c>
      <c r="G49" s="141">
        <f t="shared" si="22"/>
        <v>6.46</v>
      </c>
      <c r="H49" s="141">
        <f t="shared" si="22"/>
        <v>32851.036100000005</v>
      </c>
      <c r="I49" s="141">
        <f t="shared" si="22"/>
        <v>13.424999999999999</v>
      </c>
      <c r="J49" s="141">
        <f t="shared" si="22"/>
        <v>3.8099999999999996</v>
      </c>
      <c r="K49" s="141">
        <f t="shared" si="22"/>
        <v>8.02</v>
      </c>
      <c r="L49" s="141">
        <f t="shared" si="22"/>
        <v>0</v>
      </c>
      <c r="M49" s="141">
        <f t="shared" si="22"/>
        <v>0</v>
      </c>
      <c r="N49" s="141">
        <f t="shared" si="22"/>
        <v>17.234999999999999</v>
      </c>
      <c r="O49" s="141">
        <f t="shared" si="22"/>
        <v>14.78</v>
      </c>
      <c r="P49" s="141">
        <f t="shared" si="22"/>
        <v>0</v>
      </c>
      <c r="Q49" s="141">
        <f t="shared" si="22"/>
        <v>0.32</v>
      </c>
      <c r="R49" s="141">
        <f t="shared" si="22"/>
        <v>0</v>
      </c>
      <c r="S49" s="141">
        <f t="shared" si="22"/>
        <v>0</v>
      </c>
      <c r="T49" s="141">
        <f t="shared" si="22"/>
        <v>14.78</v>
      </c>
      <c r="U49" s="141">
        <f t="shared" si="10"/>
        <v>32883.051100000004</v>
      </c>
    </row>
    <row r="50" spans="1:21" s="145" customFormat="1" ht="38.25" customHeight="1" x14ac:dyDescent="0.4">
      <c r="A50" s="313" t="s">
        <v>118</v>
      </c>
      <c r="B50" s="313"/>
      <c r="C50" s="141">
        <f>C49+C44</f>
        <v>69008.2261</v>
      </c>
      <c r="D50" s="141">
        <f t="shared" ref="D50:U50" si="23">D49+D44</f>
        <v>193.74</v>
      </c>
      <c r="E50" s="141">
        <f t="shared" si="23"/>
        <v>2135.6990000000001</v>
      </c>
      <c r="F50" s="141">
        <f t="shared" si="23"/>
        <v>0</v>
      </c>
      <c r="G50" s="141">
        <f t="shared" si="23"/>
        <v>6.46</v>
      </c>
      <c r="H50" s="141">
        <f t="shared" si="23"/>
        <v>69201.966099999991</v>
      </c>
      <c r="I50" s="141">
        <f t="shared" si="23"/>
        <v>13.424999999999999</v>
      </c>
      <c r="J50" s="141">
        <f t="shared" si="23"/>
        <v>3.8099999999999996</v>
      </c>
      <c r="K50" s="141">
        <f t="shared" si="23"/>
        <v>8.02</v>
      </c>
      <c r="L50" s="141">
        <f t="shared" si="23"/>
        <v>0</v>
      </c>
      <c r="M50" s="141">
        <f t="shared" si="23"/>
        <v>0</v>
      </c>
      <c r="N50" s="141">
        <f t="shared" si="23"/>
        <v>17.234999999999999</v>
      </c>
      <c r="O50" s="141">
        <f t="shared" si="23"/>
        <v>53.8</v>
      </c>
      <c r="P50" s="141">
        <f t="shared" si="23"/>
        <v>0</v>
      </c>
      <c r="Q50" s="141">
        <f t="shared" si="23"/>
        <v>5.99</v>
      </c>
      <c r="R50" s="141">
        <f t="shared" si="23"/>
        <v>0</v>
      </c>
      <c r="S50" s="141">
        <f t="shared" si="23"/>
        <v>0</v>
      </c>
      <c r="T50" s="141">
        <f t="shared" si="23"/>
        <v>53.8</v>
      </c>
      <c r="U50" s="141">
        <f t="shared" si="23"/>
        <v>69273.001099999994</v>
      </c>
    </row>
    <row r="51" spans="1:21" s="146" customFormat="1" ht="38.25" customHeight="1" x14ac:dyDescent="0.4">
      <c r="A51" s="313" t="s">
        <v>119</v>
      </c>
      <c r="B51" s="313"/>
      <c r="C51" s="141">
        <f>C11+C15+C19+C24+C28+C33+C38+C44+C49</f>
        <v>114610.05989999999</v>
      </c>
      <c r="D51" s="141">
        <f t="shared" ref="D51:U51" si="24">D11+D15+D19+D24+D28+D33+D38+D44+D49</f>
        <v>279.74</v>
      </c>
      <c r="E51" s="141">
        <f t="shared" si="24"/>
        <v>2993.4319999999998</v>
      </c>
      <c r="F51" s="141">
        <f t="shared" si="24"/>
        <v>165.41</v>
      </c>
      <c r="G51" s="141">
        <f t="shared" si="24"/>
        <v>402.35799999999995</v>
      </c>
      <c r="H51" s="141">
        <f t="shared" si="24"/>
        <v>114724.38989999998</v>
      </c>
      <c r="I51" s="141">
        <f t="shared" si="24"/>
        <v>7772.8219999999992</v>
      </c>
      <c r="J51" s="141">
        <f t="shared" si="24"/>
        <v>111.848</v>
      </c>
      <c r="K51" s="141">
        <f t="shared" si="24"/>
        <v>979.72499999999991</v>
      </c>
      <c r="L51" s="141">
        <f t="shared" si="24"/>
        <v>0</v>
      </c>
      <c r="M51" s="141">
        <f t="shared" si="24"/>
        <v>19.510000000000002</v>
      </c>
      <c r="N51" s="141">
        <f t="shared" si="24"/>
        <v>7884.67</v>
      </c>
      <c r="O51" s="141">
        <f t="shared" si="24"/>
        <v>927.88400000000001</v>
      </c>
      <c r="P51" s="141">
        <f t="shared" si="24"/>
        <v>10.110000000000001</v>
      </c>
      <c r="Q51" s="141">
        <f t="shared" si="24"/>
        <v>33.067</v>
      </c>
      <c r="R51" s="141">
        <f t="shared" si="24"/>
        <v>0</v>
      </c>
      <c r="S51" s="141">
        <f t="shared" si="24"/>
        <v>19.785000000000004</v>
      </c>
      <c r="T51" s="141">
        <f t="shared" si="24"/>
        <v>937.99399999999991</v>
      </c>
      <c r="U51" s="141">
        <f t="shared" si="24"/>
        <v>123547.0539</v>
      </c>
    </row>
    <row r="52" spans="1:21" s="111" customFormat="1" ht="24" customHeight="1" x14ac:dyDescent="0.4">
      <c r="A52" s="115"/>
      <c r="B52" s="115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</row>
    <row r="53" spans="1:21" s="111" customFormat="1" ht="19.5" customHeight="1" x14ac:dyDescent="0.4">
      <c r="A53" s="115"/>
      <c r="B53" s="115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</row>
    <row r="54" spans="1:21" s="115" customFormat="1" ht="24.75" hidden="1" customHeight="1" x14ac:dyDescent="0.4">
      <c r="B54" s="217"/>
      <c r="C54" s="278" t="s">
        <v>54</v>
      </c>
      <c r="D54" s="278"/>
      <c r="E54" s="278"/>
      <c r="F54" s="278"/>
      <c r="G54" s="278"/>
      <c r="H54" s="118"/>
      <c r="I54" s="217"/>
      <c r="J54" s="217">
        <f>D51+J51+P51-F51-L51-R51</f>
        <v>236.28800000000004</v>
      </c>
      <c r="K54" s="217"/>
      <c r="L54" s="217"/>
      <c r="M54" s="217"/>
      <c r="N54" s="217"/>
      <c r="R54" s="217"/>
      <c r="U54" s="217"/>
    </row>
    <row r="55" spans="1:21" s="115" customFormat="1" ht="30" hidden="1" customHeight="1" x14ac:dyDescent="0.35">
      <c r="B55" s="217"/>
      <c r="C55" s="278" t="s">
        <v>55</v>
      </c>
      <c r="D55" s="278"/>
      <c r="E55" s="278"/>
      <c r="F55" s="278"/>
      <c r="G55" s="278"/>
      <c r="H55" s="119"/>
      <c r="I55" s="217"/>
      <c r="J55" s="217">
        <f>E51+K51+Q51-G51-M51-S51</f>
        <v>3564.5709999999999</v>
      </c>
      <c r="K55" s="217"/>
      <c r="L55" s="217"/>
      <c r="M55" s="217"/>
      <c r="N55" s="217"/>
      <c r="R55" s="217"/>
      <c r="T55" s="217"/>
    </row>
    <row r="56" spans="1:21" ht="33" hidden="1" customHeight="1" x14ac:dyDescent="0.5">
      <c r="C56" s="278" t="s">
        <v>56</v>
      </c>
      <c r="D56" s="278"/>
      <c r="E56" s="278"/>
      <c r="F56" s="278"/>
      <c r="G56" s="278"/>
      <c r="H56" s="119"/>
      <c r="I56" s="121"/>
      <c r="J56" s="217">
        <f>H51+N51+T51</f>
        <v>123547.05389999998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17"/>
      <c r="E57" s="217"/>
      <c r="F57" s="217"/>
      <c r="G57" s="217"/>
      <c r="H57" s="119"/>
      <c r="I57" s="121"/>
      <c r="J57" s="217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17"/>
      <c r="E58" s="217"/>
      <c r="F58" s="217"/>
      <c r="G58" s="217"/>
      <c r="H58" s="119"/>
      <c r="I58" s="121"/>
      <c r="J58" s="217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87" t="s">
        <v>57</v>
      </c>
      <c r="C59" s="287"/>
      <c r="D59" s="287"/>
      <c r="E59" s="287"/>
      <c r="F59" s="287"/>
      <c r="G59" s="153"/>
      <c r="H59" s="154"/>
      <c r="I59" s="155"/>
      <c r="J59" s="288"/>
      <c r="K59" s="286"/>
      <c r="L59" s="286"/>
      <c r="M59" s="169" t="e">
        <f>#REF!+'dec-2021'!J54</f>
        <v>#REF!</v>
      </c>
      <c r="N59" s="154"/>
      <c r="O59" s="154"/>
      <c r="P59" s="220"/>
      <c r="Q59" s="287" t="s">
        <v>58</v>
      </c>
      <c r="R59" s="287"/>
      <c r="S59" s="287"/>
      <c r="T59" s="287"/>
      <c r="U59" s="287"/>
    </row>
    <row r="60" spans="1:21" s="152" customFormat="1" ht="37.5" hidden="1" customHeight="1" x14ac:dyDescent="0.45">
      <c r="B60" s="287" t="s">
        <v>59</v>
      </c>
      <c r="C60" s="287"/>
      <c r="D60" s="287"/>
      <c r="E60" s="287"/>
      <c r="F60" s="287"/>
      <c r="G60" s="154"/>
      <c r="H60" s="153"/>
      <c r="I60" s="156"/>
      <c r="J60" s="157"/>
      <c r="K60" s="219"/>
      <c r="L60" s="157"/>
      <c r="M60" s="154"/>
      <c r="N60" s="153"/>
      <c r="O60" s="154"/>
      <c r="P60" s="220"/>
      <c r="Q60" s="287" t="s">
        <v>59</v>
      </c>
      <c r="R60" s="287"/>
      <c r="S60" s="287"/>
      <c r="T60" s="287"/>
      <c r="U60" s="287"/>
    </row>
    <row r="61" spans="1:21" s="152" customFormat="1" ht="37.5" hidden="1" customHeight="1" x14ac:dyDescent="0.45">
      <c r="I61" s="158"/>
      <c r="J61" s="286" t="s">
        <v>61</v>
      </c>
      <c r="K61" s="286"/>
      <c r="L61" s="286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86" t="s">
        <v>62</v>
      </c>
      <c r="K62" s="286"/>
      <c r="L62" s="286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opLeftCell="A31" zoomScale="55" zoomScaleNormal="55" workbookViewId="0">
      <selection activeCell="E46" sqref="E46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144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02" t="s">
        <v>122</v>
      </c>
      <c r="B4" s="305" t="s">
        <v>121</v>
      </c>
      <c r="C4" s="281" t="s">
        <v>131</v>
      </c>
      <c r="D4" s="282"/>
      <c r="E4" s="282"/>
      <c r="F4" s="282"/>
      <c r="G4" s="282"/>
      <c r="H4" s="282"/>
      <c r="I4" s="281" t="s">
        <v>130</v>
      </c>
      <c r="J4" s="282"/>
      <c r="K4" s="282"/>
      <c r="L4" s="282"/>
      <c r="M4" s="282"/>
      <c r="N4" s="282"/>
      <c r="O4" s="281" t="s">
        <v>129</v>
      </c>
      <c r="P4" s="282"/>
      <c r="Q4" s="282"/>
      <c r="R4" s="282"/>
      <c r="S4" s="282"/>
      <c r="T4" s="282"/>
      <c r="U4" s="223"/>
    </row>
    <row r="5" spans="1:21" s="108" customFormat="1" ht="54.75" customHeight="1" x14ac:dyDescent="0.25">
      <c r="A5" s="304"/>
      <c r="B5" s="306"/>
      <c r="C5" s="291" t="s">
        <v>6</v>
      </c>
      <c r="D5" s="289" t="s">
        <v>127</v>
      </c>
      <c r="E5" s="290"/>
      <c r="F5" s="289" t="s">
        <v>126</v>
      </c>
      <c r="G5" s="290"/>
      <c r="H5" s="291" t="s">
        <v>9</v>
      </c>
      <c r="I5" s="291" t="s">
        <v>6</v>
      </c>
      <c r="J5" s="289" t="s">
        <v>127</v>
      </c>
      <c r="K5" s="290"/>
      <c r="L5" s="289" t="s">
        <v>126</v>
      </c>
      <c r="M5" s="290"/>
      <c r="N5" s="291" t="s">
        <v>9</v>
      </c>
      <c r="O5" s="291" t="s">
        <v>6</v>
      </c>
      <c r="P5" s="289" t="s">
        <v>127</v>
      </c>
      <c r="Q5" s="290"/>
      <c r="R5" s="289" t="s">
        <v>126</v>
      </c>
      <c r="S5" s="290"/>
      <c r="T5" s="291" t="s">
        <v>9</v>
      </c>
      <c r="U5" s="305" t="s">
        <v>128</v>
      </c>
    </row>
    <row r="6" spans="1:21" s="108" customFormat="1" ht="38.25" customHeight="1" x14ac:dyDescent="0.25">
      <c r="A6" s="304"/>
      <c r="B6" s="307"/>
      <c r="C6" s="292"/>
      <c r="D6" s="172" t="s">
        <v>124</v>
      </c>
      <c r="E6" s="172" t="s">
        <v>125</v>
      </c>
      <c r="F6" s="172" t="s">
        <v>124</v>
      </c>
      <c r="G6" s="172" t="s">
        <v>125</v>
      </c>
      <c r="H6" s="292"/>
      <c r="I6" s="292"/>
      <c r="J6" s="172" t="s">
        <v>124</v>
      </c>
      <c r="K6" s="172" t="s">
        <v>125</v>
      </c>
      <c r="L6" s="172" t="s">
        <v>124</v>
      </c>
      <c r="M6" s="172" t="s">
        <v>125</v>
      </c>
      <c r="N6" s="292"/>
      <c r="O6" s="292"/>
      <c r="P6" s="172" t="s">
        <v>124</v>
      </c>
      <c r="Q6" s="172" t="s">
        <v>125</v>
      </c>
      <c r="R6" s="172" t="s">
        <v>124</v>
      </c>
      <c r="S6" s="172" t="s">
        <v>125</v>
      </c>
      <c r="T6" s="292"/>
      <c r="U6" s="307"/>
    </row>
    <row r="7" spans="1:21" ht="38.25" customHeight="1" x14ac:dyDescent="0.35">
      <c r="A7" s="171">
        <v>1</v>
      </c>
      <c r="B7" s="172" t="s">
        <v>78</v>
      </c>
      <c r="C7" s="139">
        <v>189.45999999999998</v>
      </c>
      <c r="D7" s="139">
        <v>0</v>
      </c>
      <c r="E7" s="139">
        <v>0</v>
      </c>
      <c r="F7" s="139">
        <v>99.42</v>
      </c>
      <c r="G7" s="139">
        <v>108.378</v>
      </c>
      <c r="H7" s="139">
        <f>C7+D7-F7</f>
        <v>90.039999999999978</v>
      </c>
      <c r="I7" s="139">
        <v>406.92799999999983</v>
      </c>
      <c r="J7" s="139">
        <v>177.28899999999999</v>
      </c>
      <c r="K7" s="139">
        <v>221.62200000000001</v>
      </c>
      <c r="L7" s="139">
        <v>0</v>
      </c>
      <c r="M7" s="139">
        <v>0</v>
      </c>
      <c r="N7" s="139">
        <f>I7+J7-L7</f>
        <v>584.21699999999987</v>
      </c>
      <c r="O7" s="139">
        <v>18.390000000000008</v>
      </c>
      <c r="P7" s="139">
        <v>0</v>
      </c>
      <c r="Q7" s="139">
        <v>2.88</v>
      </c>
      <c r="R7" s="139">
        <v>8.9440000000000008</v>
      </c>
      <c r="S7" s="139">
        <v>10.824000000000002</v>
      </c>
      <c r="T7" s="139">
        <f>O7+P7-R7</f>
        <v>9.4460000000000068</v>
      </c>
      <c r="U7" s="139">
        <f>H7+N7+T7</f>
        <v>683.70299999999986</v>
      </c>
    </row>
    <row r="8" spans="1:21" ht="38.25" customHeight="1" x14ac:dyDescent="0.35">
      <c r="A8" s="171">
        <v>2</v>
      </c>
      <c r="B8" s="172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f t="shared" ref="H8:H10" si="0">C8+D8-F8</f>
        <v>265.39</v>
      </c>
      <c r="I8" s="139">
        <v>309.51499999999999</v>
      </c>
      <c r="J8" s="139">
        <v>2.4649999999999999</v>
      </c>
      <c r="K8" s="139">
        <v>49.8</v>
      </c>
      <c r="L8" s="139">
        <v>0</v>
      </c>
      <c r="M8" s="139">
        <v>0</v>
      </c>
      <c r="N8" s="139">
        <f t="shared" ref="N8:N10" si="1">I8+J8-L8</f>
        <v>311.97999999999996</v>
      </c>
      <c r="O8" s="139">
        <v>66.290000000000006</v>
      </c>
      <c r="P8" s="139">
        <v>0</v>
      </c>
      <c r="Q8" s="139">
        <v>3.18</v>
      </c>
      <c r="R8" s="139">
        <v>0</v>
      </c>
      <c r="S8" s="139">
        <v>0</v>
      </c>
      <c r="T8" s="139">
        <f t="shared" ref="T8:T10" si="2">O8+P8-R8</f>
        <v>66.290000000000006</v>
      </c>
      <c r="U8" s="139">
        <f t="shared" ref="U8:U10" si="3">H8+N8+T8</f>
        <v>643.65999999999985</v>
      </c>
    </row>
    <row r="9" spans="1:21" ht="38.25" customHeight="1" x14ac:dyDescent="0.35">
      <c r="A9" s="171">
        <v>3</v>
      </c>
      <c r="B9" s="172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f t="shared" si="0"/>
        <v>209.16</v>
      </c>
      <c r="I9" s="139">
        <v>698.24800000000005</v>
      </c>
      <c r="J9" s="139">
        <v>2.78</v>
      </c>
      <c r="K9" s="139">
        <v>17.5</v>
      </c>
      <c r="L9" s="139">
        <v>0</v>
      </c>
      <c r="M9" s="139">
        <v>0</v>
      </c>
      <c r="N9" s="139">
        <f t="shared" si="1"/>
        <v>701.02800000000002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f t="shared" si="2"/>
        <v>44.739999999999995</v>
      </c>
      <c r="U9" s="139">
        <f t="shared" si="3"/>
        <v>954.928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f t="shared" si="0"/>
        <v>0</v>
      </c>
      <c r="I10" s="139">
        <v>342.09499999999997</v>
      </c>
      <c r="J10" s="139">
        <v>0.28000000000000003</v>
      </c>
      <c r="K10" s="139">
        <v>4.8199999999999994</v>
      </c>
      <c r="L10" s="139">
        <v>0</v>
      </c>
      <c r="M10" s="139">
        <v>0</v>
      </c>
      <c r="N10" s="139">
        <f t="shared" si="1"/>
        <v>342.37499999999994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f t="shared" si="2"/>
        <v>0.20000000000000007</v>
      </c>
      <c r="U10" s="139">
        <f t="shared" si="3"/>
        <v>342.57499999999993</v>
      </c>
    </row>
    <row r="11" spans="1:21" s="111" customFormat="1" ht="38.25" customHeight="1" x14ac:dyDescent="0.4">
      <c r="A11" s="308" t="s">
        <v>82</v>
      </c>
      <c r="B11" s="309"/>
      <c r="C11" s="141">
        <f>SUM(C7:C10)</f>
        <v>664.01</v>
      </c>
      <c r="D11" s="141">
        <f t="shared" ref="D11:T11" si="4">SUM(D7:D10)</f>
        <v>0</v>
      </c>
      <c r="E11" s="141">
        <f t="shared" si="4"/>
        <v>0</v>
      </c>
      <c r="F11" s="141">
        <f t="shared" si="4"/>
        <v>99.42</v>
      </c>
      <c r="G11" s="141">
        <f t="shared" si="4"/>
        <v>108.378</v>
      </c>
      <c r="H11" s="141">
        <f t="shared" si="4"/>
        <v>564.58999999999992</v>
      </c>
      <c r="I11" s="141">
        <f t="shared" si="4"/>
        <v>1756.7859999999998</v>
      </c>
      <c r="J11" s="141">
        <f t="shared" si="4"/>
        <v>182.81399999999999</v>
      </c>
      <c r="K11" s="141">
        <f t="shared" si="4"/>
        <v>293.74200000000002</v>
      </c>
      <c r="L11" s="141">
        <f t="shared" si="4"/>
        <v>0</v>
      </c>
      <c r="M11" s="141">
        <f t="shared" si="4"/>
        <v>0</v>
      </c>
      <c r="N11" s="141">
        <f t="shared" si="4"/>
        <v>1939.6</v>
      </c>
      <c r="O11" s="141">
        <f t="shared" si="4"/>
        <v>129.62</v>
      </c>
      <c r="P11" s="141">
        <f t="shared" si="4"/>
        <v>0</v>
      </c>
      <c r="Q11" s="141">
        <f t="shared" si="4"/>
        <v>6.0600000000000005</v>
      </c>
      <c r="R11" s="141">
        <f t="shared" si="4"/>
        <v>8.9440000000000008</v>
      </c>
      <c r="S11" s="141">
        <f t="shared" si="4"/>
        <v>10.824000000000002</v>
      </c>
      <c r="T11" s="141">
        <f t="shared" si="4"/>
        <v>120.67600000000002</v>
      </c>
      <c r="U11" s="141">
        <f>U10+U9+U8+U7</f>
        <v>2624.8659999999995</v>
      </c>
    </row>
    <row r="12" spans="1:21" ht="38.25" customHeight="1" x14ac:dyDescent="0.35">
      <c r="A12" s="171">
        <v>4</v>
      </c>
      <c r="B12" s="172" t="s">
        <v>83</v>
      </c>
      <c r="C12" s="139">
        <v>355.3099999999996</v>
      </c>
      <c r="D12" s="139">
        <v>0</v>
      </c>
      <c r="E12" s="139">
        <v>0</v>
      </c>
      <c r="F12" s="139">
        <v>0</v>
      </c>
      <c r="G12" s="139">
        <v>81.02</v>
      </c>
      <c r="H12" s="139">
        <f t="shared" ref="H12:H14" si="5">C12+D12-F12</f>
        <v>355.3099999999996</v>
      </c>
      <c r="I12" s="139">
        <v>803.99499999999989</v>
      </c>
      <c r="J12" s="221">
        <v>0.71</v>
      </c>
      <c r="K12" s="139">
        <v>68.534999999999997</v>
      </c>
      <c r="L12" s="139">
        <v>0</v>
      </c>
      <c r="M12" s="139">
        <v>0</v>
      </c>
      <c r="N12" s="139">
        <f t="shared" ref="N12:N14" si="6">I12+J12-L12</f>
        <v>804.70499999999993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f t="shared" ref="T12:T14" si="7">O12+P12-R12</f>
        <v>36.850000000000009</v>
      </c>
      <c r="U12" s="139">
        <f t="shared" ref="U12:U14" si="8">H12+N12+T12</f>
        <v>1196.8649999999993</v>
      </c>
    </row>
    <row r="13" spans="1:21" ht="38.25" customHeight="1" x14ac:dyDescent="0.35">
      <c r="A13" s="171">
        <v>5</v>
      </c>
      <c r="B13" s="172" t="s">
        <v>84</v>
      </c>
      <c r="C13" s="139">
        <v>312.23000000000013</v>
      </c>
      <c r="D13" s="139">
        <v>0</v>
      </c>
      <c r="E13" s="139">
        <v>0.85</v>
      </c>
      <c r="F13" s="139">
        <v>0</v>
      </c>
      <c r="G13" s="139">
        <v>0</v>
      </c>
      <c r="H13" s="139">
        <f t="shared" si="5"/>
        <v>312.23000000000013</v>
      </c>
      <c r="I13" s="139">
        <v>527.55200000000025</v>
      </c>
      <c r="J13" s="221">
        <v>0.98</v>
      </c>
      <c r="K13" s="139">
        <v>11.661999999999999</v>
      </c>
      <c r="L13" s="139">
        <v>0</v>
      </c>
      <c r="M13" s="139">
        <v>0</v>
      </c>
      <c r="N13" s="139">
        <f t="shared" si="6"/>
        <v>528.53200000000027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f t="shared" si="7"/>
        <v>68.39</v>
      </c>
      <c r="U13" s="139">
        <f t="shared" si="8"/>
        <v>909.15200000000038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1216.4399999999994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f t="shared" si="5"/>
        <v>1216.4399999999994</v>
      </c>
      <c r="I14" s="139">
        <v>861.25800000000027</v>
      </c>
      <c r="J14" s="221">
        <v>3.53</v>
      </c>
      <c r="K14" s="139">
        <v>46.488</v>
      </c>
      <c r="L14" s="139">
        <v>0</v>
      </c>
      <c r="M14" s="139">
        <v>0</v>
      </c>
      <c r="N14" s="139">
        <f t="shared" si="6"/>
        <v>864.78800000000024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f t="shared" si="7"/>
        <v>61.329999999999991</v>
      </c>
      <c r="U14" s="139">
        <f t="shared" si="8"/>
        <v>2142.5579999999995</v>
      </c>
    </row>
    <row r="15" spans="1:21" s="111" customFormat="1" ht="38.25" customHeight="1" x14ac:dyDescent="0.4">
      <c r="A15" s="308" t="s">
        <v>86</v>
      </c>
      <c r="B15" s="309"/>
      <c r="C15" s="141">
        <f>SUM(C12:C14)</f>
        <v>1883.9799999999991</v>
      </c>
      <c r="D15" s="141">
        <f t="shared" ref="D15:T15" si="9">SUM(D12:D14)</f>
        <v>0</v>
      </c>
      <c r="E15" s="141">
        <f t="shared" si="9"/>
        <v>1</v>
      </c>
      <c r="F15" s="141">
        <f t="shared" si="9"/>
        <v>0</v>
      </c>
      <c r="G15" s="141">
        <f t="shared" si="9"/>
        <v>81.02</v>
      </c>
      <c r="H15" s="141">
        <f t="shared" si="9"/>
        <v>1883.9799999999991</v>
      </c>
      <c r="I15" s="141">
        <f t="shared" si="9"/>
        <v>2192.8050000000003</v>
      </c>
      <c r="J15" s="141">
        <f t="shared" si="9"/>
        <v>5.22</v>
      </c>
      <c r="K15" s="141">
        <f t="shared" si="9"/>
        <v>126.685</v>
      </c>
      <c r="L15" s="141">
        <f t="shared" si="9"/>
        <v>0</v>
      </c>
      <c r="M15" s="141">
        <f t="shared" si="9"/>
        <v>0</v>
      </c>
      <c r="N15" s="141">
        <f t="shared" si="9"/>
        <v>2198.0250000000005</v>
      </c>
      <c r="O15" s="141">
        <f t="shared" si="9"/>
        <v>166.57</v>
      </c>
      <c r="P15" s="141">
        <f t="shared" si="9"/>
        <v>0</v>
      </c>
      <c r="Q15" s="141">
        <f t="shared" si="9"/>
        <v>0</v>
      </c>
      <c r="R15" s="141">
        <f t="shared" si="9"/>
        <v>0</v>
      </c>
      <c r="S15" s="141">
        <f t="shared" si="9"/>
        <v>0</v>
      </c>
      <c r="T15" s="141">
        <f t="shared" si="9"/>
        <v>166.57</v>
      </c>
      <c r="U15" s="141">
        <f t="shared" ref="U15:U49" si="10">T15+N15+H15</f>
        <v>4248.5749999999998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1011.6640000000004</v>
      </c>
      <c r="D16" s="139">
        <v>0.14000000000000001</v>
      </c>
      <c r="E16" s="139">
        <v>2.52</v>
      </c>
      <c r="F16" s="139">
        <v>17.96</v>
      </c>
      <c r="G16" s="139">
        <v>75.319999999999993</v>
      </c>
      <c r="H16" s="139">
        <f t="shared" ref="H16:H18" si="11">C16+D16-F16</f>
        <v>993.84400000000039</v>
      </c>
      <c r="I16" s="139">
        <v>292.166</v>
      </c>
      <c r="J16" s="139">
        <v>6.88</v>
      </c>
      <c r="K16" s="139">
        <v>172.36500000000001</v>
      </c>
      <c r="L16" s="139">
        <v>0</v>
      </c>
      <c r="M16" s="139">
        <v>0</v>
      </c>
      <c r="N16" s="139">
        <f t="shared" ref="N16:N18" si="12">I16+J16-L16</f>
        <v>299.04599999999999</v>
      </c>
      <c r="O16" s="139">
        <v>177.31200000000004</v>
      </c>
      <c r="P16" s="139">
        <v>0.1</v>
      </c>
      <c r="Q16" s="139">
        <v>0.15000000000000002</v>
      </c>
      <c r="R16" s="139">
        <v>0</v>
      </c>
      <c r="S16" s="139">
        <v>0</v>
      </c>
      <c r="T16" s="139">
        <f t="shared" ref="T16:T18" si="13">O16+P16-R16</f>
        <v>177.41200000000003</v>
      </c>
      <c r="U16" s="139">
        <f t="shared" ref="U16:U18" si="14">H16+N16+T16</f>
        <v>1470.3020000000004</v>
      </c>
    </row>
    <row r="17" spans="1:21" ht="38.25" customHeight="1" x14ac:dyDescent="0.35">
      <c r="A17" s="171">
        <v>9</v>
      </c>
      <c r="B17" s="172" t="s">
        <v>120</v>
      </c>
      <c r="C17" s="139">
        <v>6.415999999999948</v>
      </c>
      <c r="D17" s="139">
        <v>0</v>
      </c>
      <c r="E17" s="139">
        <v>3.51</v>
      </c>
      <c r="F17" s="139">
        <v>0</v>
      </c>
      <c r="G17" s="139">
        <v>120.22999999999999</v>
      </c>
      <c r="H17" s="139">
        <f t="shared" si="11"/>
        <v>6.415999999999948</v>
      </c>
      <c r="I17" s="139">
        <v>506.31000000000017</v>
      </c>
      <c r="J17" s="139">
        <v>5.4399999999999995</v>
      </c>
      <c r="K17" s="139">
        <v>163.72</v>
      </c>
      <c r="L17" s="139">
        <v>0</v>
      </c>
      <c r="M17" s="139">
        <v>0</v>
      </c>
      <c r="N17" s="139">
        <f t="shared" si="12"/>
        <v>511.75000000000017</v>
      </c>
      <c r="O17" s="139">
        <v>6.33</v>
      </c>
      <c r="P17" s="139">
        <v>0</v>
      </c>
      <c r="Q17" s="139">
        <v>0.03</v>
      </c>
      <c r="R17" s="139">
        <v>0</v>
      </c>
      <c r="S17" s="139">
        <v>1.665</v>
      </c>
      <c r="T17" s="139">
        <f t="shared" si="13"/>
        <v>6.33</v>
      </c>
      <c r="U17" s="139">
        <f t="shared" si="14"/>
        <v>524.49600000000021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75.986000000000104</v>
      </c>
      <c r="D18" s="139">
        <v>0</v>
      </c>
      <c r="E18" s="139">
        <v>0.29000000000000004</v>
      </c>
      <c r="F18" s="139">
        <v>0</v>
      </c>
      <c r="G18" s="139">
        <v>59.79</v>
      </c>
      <c r="H18" s="139">
        <f t="shared" si="11"/>
        <v>75.986000000000104</v>
      </c>
      <c r="I18" s="139">
        <v>485.05699999999996</v>
      </c>
      <c r="J18" s="139">
        <v>0.48</v>
      </c>
      <c r="K18" s="139">
        <v>142.99999999999997</v>
      </c>
      <c r="L18" s="139">
        <v>0</v>
      </c>
      <c r="M18" s="139">
        <v>0</v>
      </c>
      <c r="N18" s="139">
        <f t="shared" si="12"/>
        <v>485.53699999999998</v>
      </c>
      <c r="O18" s="139">
        <v>38.869999999999997</v>
      </c>
      <c r="P18" s="139">
        <v>0</v>
      </c>
      <c r="Q18" s="139">
        <v>0</v>
      </c>
      <c r="R18" s="139">
        <v>0</v>
      </c>
      <c r="S18" s="139">
        <v>0</v>
      </c>
      <c r="T18" s="139">
        <f t="shared" si="13"/>
        <v>38.869999999999997</v>
      </c>
      <c r="U18" s="139">
        <f t="shared" si="14"/>
        <v>600.39300000000014</v>
      </c>
    </row>
    <row r="19" spans="1:21" s="111" customFormat="1" ht="38.25" customHeight="1" x14ac:dyDescent="0.4">
      <c r="A19" s="308" t="s">
        <v>89</v>
      </c>
      <c r="B19" s="309"/>
      <c r="C19" s="141">
        <f>SUM(C16:C18)</f>
        <v>1094.0660000000005</v>
      </c>
      <c r="D19" s="141">
        <f t="shared" ref="D19:T19" si="15">SUM(D16:D18)</f>
        <v>0.14000000000000001</v>
      </c>
      <c r="E19" s="141">
        <f t="shared" si="15"/>
        <v>6.3199999999999994</v>
      </c>
      <c r="F19" s="141">
        <f t="shared" si="15"/>
        <v>17.96</v>
      </c>
      <c r="G19" s="141">
        <f t="shared" si="15"/>
        <v>255.33999999999997</v>
      </c>
      <c r="H19" s="141">
        <f t="shared" si="15"/>
        <v>1076.2460000000005</v>
      </c>
      <c r="I19" s="141">
        <f t="shared" si="15"/>
        <v>1283.5330000000001</v>
      </c>
      <c r="J19" s="141">
        <f t="shared" si="15"/>
        <v>12.8</v>
      </c>
      <c r="K19" s="141">
        <f t="shared" si="15"/>
        <v>479.08500000000004</v>
      </c>
      <c r="L19" s="141">
        <f t="shared" si="15"/>
        <v>0</v>
      </c>
      <c r="M19" s="141">
        <f t="shared" si="15"/>
        <v>0</v>
      </c>
      <c r="N19" s="141">
        <f t="shared" si="15"/>
        <v>1296.3330000000001</v>
      </c>
      <c r="O19" s="141">
        <f t="shared" si="15"/>
        <v>222.51200000000006</v>
      </c>
      <c r="P19" s="141">
        <f t="shared" si="15"/>
        <v>0.1</v>
      </c>
      <c r="Q19" s="141">
        <f t="shared" si="15"/>
        <v>0.18000000000000002</v>
      </c>
      <c r="R19" s="141">
        <f t="shared" si="15"/>
        <v>0</v>
      </c>
      <c r="S19" s="141">
        <f t="shared" si="15"/>
        <v>1.665</v>
      </c>
      <c r="T19" s="141">
        <f t="shared" si="15"/>
        <v>222.61200000000005</v>
      </c>
      <c r="U19" s="141">
        <f t="shared" si="10"/>
        <v>2595.1910000000007</v>
      </c>
    </row>
    <row r="20" spans="1:21" ht="38.25" customHeight="1" x14ac:dyDescent="0.35">
      <c r="A20" s="171">
        <v>8</v>
      </c>
      <c r="B20" s="172" t="s">
        <v>91</v>
      </c>
      <c r="C20" s="139">
        <v>630.56999999999994</v>
      </c>
      <c r="D20" s="139">
        <v>0</v>
      </c>
      <c r="E20" s="139">
        <v>3.3000000000000003</v>
      </c>
      <c r="F20" s="139">
        <v>0</v>
      </c>
      <c r="G20" s="139">
        <v>0.43</v>
      </c>
      <c r="H20" s="139">
        <f t="shared" ref="H20:H23" si="16">C20+D20-F20</f>
        <v>630.56999999999994</v>
      </c>
      <c r="I20" s="139">
        <v>398.46800000000013</v>
      </c>
      <c r="J20" s="139">
        <v>0.72</v>
      </c>
      <c r="K20" s="139">
        <v>16.468</v>
      </c>
      <c r="L20" s="139">
        <v>0</v>
      </c>
      <c r="M20" s="139">
        <v>0</v>
      </c>
      <c r="N20" s="139">
        <f t="shared" ref="N20:N23" si="17">I20+J20-L20</f>
        <v>399.18800000000016</v>
      </c>
      <c r="O20" s="139">
        <v>40.350000000000009</v>
      </c>
      <c r="P20" s="139">
        <v>0</v>
      </c>
      <c r="Q20" s="139">
        <v>0.15</v>
      </c>
      <c r="R20" s="139">
        <v>0</v>
      </c>
      <c r="S20" s="139">
        <v>0.04</v>
      </c>
      <c r="T20" s="139">
        <f t="shared" ref="T20:T23" si="18">O20+P20-R20</f>
        <v>40.350000000000009</v>
      </c>
      <c r="U20" s="139">
        <f t="shared" ref="U20:U23" si="19">H20+N20+T20</f>
        <v>1070.1079999999999</v>
      </c>
    </row>
    <row r="21" spans="1:21" ht="38.25" customHeight="1" x14ac:dyDescent="0.35">
      <c r="A21" s="171">
        <v>9</v>
      </c>
      <c r="B21" s="172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8.36</v>
      </c>
      <c r="H21" s="139">
        <f t="shared" si="16"/>
        <v>22.51</v>
      </c>
      <c r="I21" s="139">
        <v>397.18699999999995</v>
      </c>
      <c r="J21" s="139">
        <v>0.93</v>
      </c>
      <c r="K21" s="139">
        <v>29.424000000000007</v>
      </c>
      <c r="L21" s="139">
        <v>0</v>
      </c>
      <c r="M21" s="139">
        <v>0</v>
      </c>
      <c r="N21" s="139">
        <f t="shared" si="17"/>
        <v>398.11699999999996</v>
      </c>
      <c r="O21" s="139">
        <v>19.369999999999997</v>
      </c>
      <c r="P21" s="139">
        <v>0</v>
      </c>
      <c r="Q21" s="139">
        <v>0</v>
      </c>
      <c r="R21" s="139">
        <v>0</v>
      </c>
      <c r="S21" s="139">
        <v>0.19</v>
      </c>
      <c r="T21" s="139">
        <f t="shared" si="18"/>
        <v>19.369999999999997</v>
      </c>
      <c r="U21" s="139">
        <f t="shared" si="19"/>
        <v>439.99699999999996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120.44000000000001</v>
      </c>
      <c r="D22" s="139">
        <v>1.04</v>
      </c>
      <c r="E22" s="139">
        <v>5.22</v>
      </c>
      <c r="F22" s="139">
        <v>99.05</v>
      </c>
      <c r="G22" s="139">
        <v>163.51</v>
      </c>
      <c r="H22" s="139">
        <f t="shared" si="16"/>
        <v>22.430000000000021</v>
      </c>
      <c r="I22" s="139">
        <v>452.16000000000008</v>
      </c>
      <c r="J22" s="139">
        <v>236.81</v>
      </c>
      <c r="K22" s="139">
        <v>347.44499999999999</v>
      </c>
      <c r="L22" s="139">
        <v>0</v>
      </c>
      <c r="M22" s="139">
        <v>19.510000000000002</v>
      </c>
      <c r="N22" s="139">
        <f t="shared" si="17"/>
        <v>688.97</v>
      </c>
      <c r="O22" s="139">
        <v>4.370000000000001</v>
      </c>
      <c r="P22" s="139">
        <v>0</v>
      </c>
      <c r="Q22" s="139">
        <v>0</v>
      </c>
      <c r="R22" s="139">
        <v>3.77</v>
      </c>
      <c r="S22" s="139">
        <v>16.52</v>
      </c>
      <c r="T22" s="139">
        <f t="shared" si="18"/>
        <v>0.60000000000000098</v>
      </c>
      <c r="U22" s="139">
        <f t="shared" si="19"/>
        <v>712.00000000000011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427.24</v>
      </c>
      <c r="D23" s="139">
        <v>0</v>
      </c>
      <c r="E23" s="139">
        <v>8.35</v>
      </c>
      <c r="F23" s="139">
        <v>0</v>
      </c>
      <c r="G23" s="139">
        <v>3.4</v>
      </c>
      <c r="H23" s="139">
        <f t="shared" si="16"/>
        <v>427.24</v>
      </c>
      <c r="I23" s="139">
        <v>88.295000000000002</v>
      </c>
      <c r="J23" s="139">
        <v>13.59</v>
      </c>
      <c r="K23" s="139">
        <v>25.085000000000001</v>
      </c>
      <c r="L23" s="139">
        <v>0</v>
      </c>
      <c r="M23" s="139">
        <v>0</v>
      </c>
      <c r="N23" s="139">
        <f t="shared" si="17"/>
        <v>101.88500000000001</v>
      </c>
      <c r="O23" s="139">
        <v>22.5</v>
      </c>
      <c r="P23" s="139">
        <v>0</v>
      </c>
      <c r="Q23" s="139">
        <v>0</v>
      </c>
      <c r="R23" s="139">
        <v>0</v>
      </c>
      <c r="S23" s="139">
        <v>3.26</v>
      </c>
      <c r="T23" s="139">
        <f t="shared" si="18"/>
        <v>22.5</v>
      </c>
      <c r="U23" s="139">
        <f t="shared" si="19"/>
        <v>551.625</v>
      </c>
    </row>
    <row r="24" spans="1:21" s="111" customFormat="1" ht="38.25" customHeight="1" x14ac:dyDescent="0.4">
      <c r="A24" s="313" t="s">
        <v>94</v>
      </c>
      <c r="B24" s="313"/>
      <c r="C24" s="141">
        <f>SUM(C20:C23)</f>
        <v>1200.76</v>
      </c>
      <c r="D24" s="141">
        <f t="shared" ref="D24:T24" si="20">SUM(D20:D23)</f>
        <v>1.04</v>
      </c>
      <c r="E24" s="141">
        <f t="shared" si="20"/>
        <v>16.869999999999997</v>
      </c>
      <c r="F24" s="141">
        <f t="shared" si="20"/>
        <v>99.05</v>
      </c>
      <c r="G24" s="141">
        <f t="shared" si="20"/>
        <v>175.7</v>
      </c>
      <c r="H24" s="141">
        <f t="shared" si="20"/>
        <v>1102.75</v>
      </c>
      <c r="I24" s="141">
        <f t="shared" si="20"/>
        <v>1336.1100000000001</v>
      </c>
      <c r="J24" s="141">
        <f t="shared" si="20"/>
        <v>252.05</v>
      </c>
      <c r="K24" s="141">
        <f t="shared" si="20"/>
        <v>418.42199999999997</v>
      </c>
      <c r="L24" s="141">
        <f t="shared" si="20"/>
        <v>0</v>
      </c>
      <c r="M24" s="141">
        <f t="shared" si="20"/>
        <v>19.510000000000002</v>
      </c>
      <c r="N24" s="141">
        <f t="shared" si="20"/>
        <v>1588.16</v>
      </c>
      <c r="O24" s="141">
        <f t="shared" si="20"/>
        <v>86.59</v>
      </c>
      <c r="P24" s="141">
        <f t="shared" si="20"/>
        <v>0</v>
      </c>
      <c r="Q24" s="141">
        <f t="shared" si="20"/>
        <v>0.15</v>
      </c>
      <c r="R24" s="141">
        <f t="shared" si="20"/>
        <v>3.77</v>
      </c>
      <c r="S24" s="141">
        <f t="shared" si="20"/>
        <v>20.009999999999998</v>
      </c>
      <c r="T24" s="141">
        <f t="shared" si="20"/>
        <v>82.820000000000007</v>
      </c>
      <c r="U24" s="141">
        <f t="shared" si="10"/>
        <v>2773.73</v>
      </c>
    </row>
    <row r="25" spans="1:21" s="145" customFormat="1" ht="38.25" customHeight="1" x14ac:dyDescent="0.4">
      <c r="A25" s="308" t="s">
        <v>95</v>
      </c>
      <c r="B25" s="309"/>
      <c r="C25" s="141">
        <f>C24+C19+C15+C11</f>
        <v>4842.8159999999998</v>
      </c>
      <c r="D25" s="141">
        <f t="shared" ref="D25:T25" si="21">D24+D19+D15+D11</f>
        <v>1.1800000000000002</v>
      </c>
      <c r="E25" s="141">
        <f t="shared" si="21"/>
        <v>24.189999999999998</v>
      </c>
      <c r="F25" s="141">
        <f t="shared" si="21"/>
        <v>216.43</v>
      </c>
      <c r="G25" s="141">
        <f t="shared" si="21"/>
        <v>620.43799999999999</v>
      </c>
      <c r="H25" s="141">
        <f t="shared" si="21"/>
        <v>4627.5659999999998</v>
      </c>
      <c r="I25" s="141">
        <f t="shared" si="21"/>
        <v>6569.2340000000004</v>
      </c>
      <c r="J25" s="141">
        <f t="shared" si="21"/>
        <v>452.88400000000001</v>
      </c>
      <c r="K25" s="141">
        <f t="shared" si="21"/>
        <v>1317.934</v>
      </c>
      <c r="L25" s="141">
        <f t="shared" si="21"/>
        <v>0</v>
      </c>
      <c r="M25" s="141">
        <f t="shared" si="21"/>
        <v>19.510000000000002</v>
      </c>
      <c r="N25" s="141">
        <f t="shared" si="21"/>
        <v>7022.1180000000004</v>
      </c>
      <c r="O25" s="141">
        <f t="shared" si="21"/>
        <v>605.29200000000014</v>
      </c>
      <c r="P25" s="141">
        <f t="shared" si="21"/>
        <v>0.1</v>
      </c>
      <c r="Q25" s="141">
        <f t="shared" si="21"/>
        <v>6.3900000000000006</v>
      </c>
      <c r="R25" s="141">
        <f t="shared" si="21"/>
        <v>12.714</v>
      </c>
      <c r="S25" s="141">
        <f t="shared" si="21"/>
        <v>32.498999999999995</v>
      </c>
      <c r="T25" s="141">
        <f t="shared" si="21"/>
        <v>592.67800000000011</v>
      </c>
      <c r="U25" s="141">
        <f t="shared" si="10"/>
        <v>12242.362000000001</v>
      </c>
    </row>
    <row r="26" spans="1:21" ht="38.25" customHeight="1" x14ac:dyDescent="0.35">
      <c r="A26" s="171">
        <v>15</v>
      </c>
      <c r="B26" s="172" t="s">
        <v>96</v>
      </c>
      <c r="C26" s="139">
        <v>1550.1299999999999</v>
      </c>
      <c r="D26" s="139">
        <v>2.85</v>
      </c>
      <c r="E26" s="139">
        <v>102.45</v>
      </c>
      <c r="F26" s="139">
        <v>0</v>
      </c>
      <c r="G26" s="139">
        <v>0</v>
      </c>
      <c r="H26" s="139">
        <f t="shared" ref="H26:H27" si="22">C26+D26-F26</f>
        <v>1552.9799999999998</v>
      </c>
      <c r="I26" s="139">
        <v>66.17</v>
      </c>
      <c r="J26" s="139">
        <v>1.1600000000000001</v>
      </c>
      <c r="K26" s="139">
        <v>8.2799999999999994</v>
      </c>
      <c r="L26" s="139">
        <v>0</v>
      </c>
      <c r="M26" s="139">
        <v>0</v>
      </c>
      <c r="N26" s="139">
        <f t="shared" ref="N26:N27" si="23">I26+J26-L26</f>
        <v>67.33</v>
      </c>
      <c r="O26" s="139">
        <v>16.11</v>
      </c>
      <c r="P26" s="139">
        <v>0</v>
      </c>
      <c r="Q26" s="139">
        <v>2.62</v>
      </c>
      <c r="R26" s="139">
        <v>0</v>
      </c>
      <c r="S26" s="139">
        <v>0</v>
      </c>
      <c r="T26" s="139">
        <f t="shared" ref="T26:T27" si="24">O26+P26-R26</f>
        <v>16.11</v>
      </c>
      <c r="U26" s="139">
        <f t="shared" ref="U26:U27" si="25">H26+N26+T26</f>
        <v>1636.4199999999996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5568.6850000000013</v>
      </c>
      <c r="D27" s="139">
        <v>8.02</v>
      </c>
      <c r="E27" s="139">
        <v>122.56500000000001</v>
      </c>
      <c r="F27" s="139">
        <v>0</v>
      </c>
      <c r="G27" s="139">
        <v>0</v>
      </c>
      <c r="H27" s="139">
        <f t="shared" si="22"/>
        <v>5576.7050000000017</v>
      </c>
      <c r="I27" s="139">
        <v>585.73799999999994</v>
      </c>
      <c r="J27" s="139">
        <v>8.4499999999999993</v>
      </c>
      <c r="K27" s="139">
        <v>38.19</v>
      </c>
      <c r="L27" s="139">
        <v>0</v>
      </c>
      <c r="M27" s="139">
        <v>0</v>
      </c>
      <c r="N27" s="139">
        <f t="shared" si="23"/>
        <v>594.18799999999999</v>
      </c>
      <c r="O27" s="139">
        <v>33.49</v>
      </c>
      <c r="P27" s="139">
        <v>0</v>
      </c>
      <c r="Q27" s="139">
        <v>0</v>
      </c>
      <c r="R27" s="139">
        <v>0</v>
      </c>
      <c r="S27" s="139">
        <v>0</v>
      </c>
      <c r="T27" s="139">
        <f t="shared" si="24"/>
        <v>33.49</v>
      </c>
      <c r="U27" s="139">
        <f t="shared" si="25"/>
        <v>6204.3830000000016</v>
      </c>
    </row>
    <row r="28" spans="1:21" s="111" customFormat="1" ht="38.25" customHeight="1" x14ac:dyDescent="0.4">
      <c r="A28" s="313" t="s">
        <v>98</v>
      </c>
      <c r="B28" s="313"/>
      <c r="C28" s="141">
        <f>SUM(C26:C27)</f>
        <v>7118.8150000000014</v>
      </c>
      <c r="D28" s="141">
        <f t="shared" ref="D28:T28" si="26">SUM(D26:D27)</f>
        <v>10.87</v>
      </c>
      <c r="E28" s="141">
        <f t="shared" si="26"/>
        <v>225.01500000000001</v>
      </c>
      <c r="F28" s="141">
        <f t="shared" si="26"/>
        <v>0</v>
      </c>
      <c r="G28" s="141">
        <f t="shared" si="26"/>
        <v>0</v>
      </c>
      <c r="H28" s="141">
        <f t="shared" si="26"/>
        <v>7129.6850000000013</v>
      </c>
      <c r="I28" s="141">
        <f t="shared" si="26"/>
        <v>651.9079999999999</v>
      </c>
      <c r="J28" s="141">
        <f t="shared" si="26"/>
        <v>9.61</v>
      </c>
      <c r="K28" s="141">
        <f t="shared" si="26"/>
        <v>46.47</v>
      </c>
      <c r="L28" s="141">
        <f t="shared" si="26"/>
        <v>0</v>
      </c>
      <c r="M28" s="141">
        <f t="shared" si="26"/>
        <v>0</v>
      </c>
      <c r="N28" s="141">
        <f t="shared" si="26"/>
        <v>661.51800000000003</v>
      </c>
      <c r="O28" s="141">
        <f t="shared" si="26"/>
        <v>49.6</v>
      </c>
      <c r="P28" s="141">
        <f t="shared" si="26"/>
        <v>0</v>
      </c>
      <c r="Q28" s="141">
        <f t="shared" si="26"/>
        <v>2.62</v>
      </c>
      <c r="R28" s="141">
        <f t="shared" si="26"/>
        <v>0</v>
      </c>
      <c r="S28" s="141">
        <f t="shared" si="26"/>
        <v>0</v>
      </c>
      <c r="T28" s="141">
        <f t="shared" si="26"/>
        <v>49.6</v>
      </c>
      <c r="U28" s="141">
        <f t="shared" si="10"/>
        <v>7840.8030000000017</v>
      </c>
    </row>
    <row r="29" spans="1:21" ht="38.25" customHeight="1" x14ac:dyDescent="0.35">
      <c r="A29" s="171">
        <v>17</v>
      </c>
      <c r="B29" s="172" t="s">
        <v>99</v>
      </c>
      <c r="C29" s="139">
        <v>4452.1580000000013</v>
      </c>
      <c r="D29" s="139">
        <v>2.31</v>
      </c>
      <c r="E29" s="139">
        <v>43.261000000000017</v>
      </c>
      <c r="F29" s="139">
        <v>0</v>
      </c>
      <c r="G29" s="139">
        <v>0</v>
      </c>
      <c r="H29" s="139">
        <f t="shared" ref="H29:H32" si="27">C29+D29-F29</f>
        <v>4454.4680000000017</v>
      </c>
      <c r="I29" s="139">
        <v>143.92000000000002</v>
      </c>
      <c r="J29" s="139">
        <v>7.8900000000000006</v>
      </c>
      <c r="K29" s="139">
        <v>55.150000000000006</v>
      </c>
      <c r="L29" s="139">
        <v>0</v>
      </c>
      <c r="M29" s="139">
        <v>0</v>
      </c>
      <c r="N29" s="139">
        <f t="shared" ref="N29:N32" si="28">I29+J29-L29</f>
        <v>151.81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f t="shared" ref="T29:T32" si="29">O29+P29-R29</f>
        <v>57.720000000000006</v>
      </c>
      <c r="U29" s="139">
        <f t="shared" ref="U29:U32" si="30">H29+N29+T29</f>
        <v>4663.9980000000023</v>
      </c>
    </row>
    <row r="30" spans="1:21" ht="38.25" customHeight="1" x14ac:dyDescent="0.35">
      <c r="A30" s="171">
        <v>18</v>
      </c>
      <c r="B30" s="172" t="s">
        <v>100</v>
      </c>
      <c r="C30" s="139">
        <v>3567.74</v>
      </c>
      <c r="D30" s="139">
        <v>7.63</v>
      </c>
      <c r="E30" s="139">
        <v>116.79899999999999</v>
      </c>
      <c r="F30" s="139">
        <v>0</v>
      </c>
      <c r="G30" s="139">
        <v>0</v>
      </c>
      <c r="H30" s="139">
        <f t="shared" si="27"/>
        <v>3575.37</v>
      </c>
      <c r="I30" s="139">
        <v>36.697000000000003</v>
      </c>
      <c r="J30" s="139">
        <v>5</v>
      </c>
      <c r="K30" s="139">
        <v>20.2</v>
      </c>
      <c r="L30" s="139">
        <v>0</v>
      </c>
      <c r="M30" s="139">
        <v>0</v>
      </c>
      <c r="N30" s="139">
        <f t="shared" si="28"/>
        <v>41.697000000000003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f t="shared" si="29"/>
        <v>23.25</v>
      </c>
      <c r="U30" s="139">
        <f t="shared" si="30"/>
        <v>3640.317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4589.4290000000001</v>
      </c>
      <c r="D31" s="139">
        <v>0.56999999999999995</v>
      </c>
      <c r="E31" s="139">
        <v>113.09799999999998</v>
      </c>
      <c r="F31" s="139">
        <v>0</v>
      </c>
      <c r="G31" s="139">
        <v>0</v>
      </c>
      <c r="H31" s="139">
        <f t="shared" si="27"/>
        <v>4589.9989999999998</v>
      </c>
      <c r="I31" s="139">
        <v>86.710000000000022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f t="shared" si="28"/>
        <v>86.710000000000022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f t="shared" si="29"/>
        <v>14.850000000000001</v>
      </c>
      <c r="U31" s="139">
        <f t="shared" si="30"/>
        <v>4691.5590000000002</v>
      </c>
    </row>
    <row r="32" spans="1:21" ht="38.25" customHeight="1" x14ac:dyDescent="0.35">
      <c r="A32" s="171">
        <v>20</v>
      </c>
      <c r="B32" s="172" t="s">
        <v>102</v>
      </c>
      <c r="C32" s="139">
        <v>2333.1557999999995</v>
      </c>
      <c r="D32" s="139">
        <v>9.6999999999999993</v>
      </c>
      <c r="E32" s="139">
        <v>47.02000000000001</v>
      </c>
      <c r="F32" s="139">
        <v>0</v>
      </c>
      <c r="G32" s="139">
        <v>0</v>
      </c>
      <c r="H32" s="139">
        <f t="shared" si="27"/>
        <v>2342.8557999999994</v>
      </c>
      <c r="I32" s="139">
        <v>380.57599999999996</v>
      </c>
      <c r="J32" s="139">
        <v>11.26</v>
      </c>
      <c r="K32" s="139">
        <v>48.974999999999994</v>
      </c>
      <c r="L32" s="139">
        <v>0</v>
      </c>
      <c r="M32" s="139">
        <v>0</v>
      </c>
      <c r="N32" s="139">
        <f t="shared" si="28"/>
        <v>391.83599999999996</v>
      </c>
      <c r="O32" s="139">
        <v>67.551999999999992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f t="shared" si="29"/>
        <v>67.551999999999992</v>
      </c>
      <c r="U32" s="139">
        <f t="shared" si="30"/>
        <v>2802.2437999999993</v>
      </c>
    </row>
    <row r="33" spans="1:21" s="111" customFormat="1" ht="38.25" customHeight="1" x14ac:dyDescent="0.4">
      <c r="A33" s="313" t="s">
        <v>99</v>
      </c>
      <c r="B33" s="313"/>
      <c r="C33" s="141">
        <f>SUM(C29:C32)</f>
        <v>14942.482800000002</v>
      </c>
      <c r="D33" s="141">
        <f t="shared" ref="D33:T33" si="31">SUM(D29:D32)</f>
        <v>20.21</v>
      </c>
      <c r="E33" s="141">
        <f t="shared" si="31"/>
        <v>320.178</v>
      </c>
      <c r="F33" s="141">
        <f t="shared" si="31"/>
        <v>0</v>
      </c>
      <c r="G33" s="141">
        <f t="shared" si="31"/>
        <v>0</v>
      </c>
      <c r="H33" s="141">
        <f t="shared" si="31"/>
        <v>14962.692800000001</v>
      </c>
      <c r="I33" s="141">
        <f t="shared" si="31"/>
        <v>647.90300000000002</v>
      </c>
      <c r="J33" s="141">
        <f t="shared" si="31"/>
        <v>24.15</v>
      </c>
      <c r="K33" s="141">
        <f t="shared" si="31"/>
        <v>124.605</v>
      </c>
      <c r="L33" s="141">
        <f t="shared" si="31"/>
        <v>0</v>
      </c>
      <c r="M33" s="141">
        <f t="shared" si="31"/>
        <v>0</v>
      </c>
      <c r="N33" s="141">
        <f t="shared" si="31"/>
        <v>672.053</v>
      </c>
      <c r="O33" s="141">
        <f t="shared" si="31"/>
        <v>163.37199999999999</v>
      </c>
      <c r="P33" s="141">
        <f t="shared" si="31"/>
        <v>0</v>
      </c>
      <c r="Q33" s="141">
        <f t="shared" si="31"/>
        <v>7.0000000000000001E-3</v>
      </c>
      <c r="R33" s="141">
        <f t="shared" si="31"/>
        <v>0</v>
      </c>
      <c r="S33" s="141">
        <f t="shared" si="31"/>
        <v>0</v>
      </c>
      <c r="T33" s="141">
        <f t="shared" si="31"/>
        <v>163.37199999999999</v>
      </c>
      <c r="U33" s="141">
        <f t="shared" si="10"/>
        <v>15798.1178</v>
      </c>
    </row>
    <row r="34" spans="1:21" ht="38.25" customHeight="1" x14ac:dyDescent="0.35">
      <c r="A34" s="171">
        <v>21</v>
      </c>
      <c r="B34" s="172" t="s">
        <v>103</v>
      </c>
      <c r="C34" s="139">
        <v>4429.59</v>
      </c>
      <c r="D34" s="139">
        <v>9.51</v>
      </c>
      <c r="E34" s="139">
        <v>66.81</v>
      </c>
      <c r="F34" s="139">
        <v>0</v>
      </c>
      <c r="G34" s="139">
        <v>0</v>
      </c>
      <c r="H34" s="139">
        <f t="shared" ref="H34:H37" si="32">C34+D34-F34</f>
        <v>4439.1000000000004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f t="shared" ref="N34:N37" si="33">I34+J34-L34</f>
        <v>0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f t="shared" ref="T34:T37" si="34">O34+P34-R34</f>
        <v>0</v>
      </c>
      <c r="U34" s="139">
        <f t="shared" ref="U34:U37" si="35">H34+N34+T34</f>
        <v>4439.1000000000004</v>
      </c>
    </row>
    <row r="35" spans="1:21" ht="38.25" customHeight="1" x14ac:dyDescent="0.35">
      <c r="A35" s="171">
        <v>22</v>
      </c>
      <c r="B35" s="172" t="s">
        <v>104</v>
      </c>
      <c r="C35" s="139">
        <v>6127.0099999999975</v>
      </c>
      <c r="D35" s="139">
        <v>82.57</v>
      </c>
      <c r="E35" s="139">
        <v>322.96000000000004</v>
      </c>
      <c r="F35" s="139">
        <v>0</v>
      </c>
      <c r="G35" s="139">
        <v>0</v>
      </c>
      <c r="H35" s="139">
        <f t="shared" si="32"/>
        <v>6209.5799999999972</v>
      </c>
      <c r="I35" s="139">
        <v>6.92</v>
      </c>
      <c r="J35" s="139">
        <v>0</v>
      </c>
      <c r="K35" s="139">
        <v>2.92</v>
      </c>
      <c r="L35" s="139">
        <v>0</v>
      </c>
      <c r="M35" s="139">
        <v>0</v>
      </c>
      <c r="N35" s="139">
        <f t="shared" si="33"/>
        <v>6.92</v>
      </c>
      <c r="O35" s="139">
        <v>58.420000000000009</v>
      </c>
      <c r="P35" s="139">
        <v>0</v>
      </c>
      <c r="Q35" s="139">
        <v>13.89</v>
      </c>
      <c r="R35" s="139">
        <v>0</v>
      </c>
      <c r="S35" s="139">
        <v>0</v>
      </c>
      <c r="T35" s="139">
        <f t="shared" si="34"/>
        <v>58.420000000000009</v>
      </c>
      <c r="U35" s="139">
        <f t="shared" si="35"/>
        <v>6274.9199999999973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3426.0099999999998</v>
      </c>
      <c r="D36" s="139">
        <v>25.09</v>
      </c>
      <c r="E36" s="139">
        <v>121.86</v>
      </c>
      <c r="F36" s="139">
        <v>0</v>
      </c>
      <c r="G36" s="139">
        <v>0</v>
      </c>
      <c r="H36" s="139">
        <f t="shared" si="32"/>
        <v>3451.1</v>
      </c>
      <c r="I36" s="139">
        <v>29.680000000000039</v>
      </c>
      <c r="J36" s="139">
        <v>0</v>
      </c>
      <c r="K36" s="139">
        <v>4.63</v>
      </c>
      <c r="L36" s="139">
        <v>0</v>
      </c>
      <c r="M36" s="139">
        <v>0</v>
      </c>
      <c r="N36" s="139">
        <f t="shared" si="33"/>
        <v>29.680000000000039</v>
      </c>
      <c r="O36" s="139">
        <v>12.459999999999999</v>
      </c>
      <c r="P36" s="139">
        <v>4.63</v>
      </c>
      <c r="Q36" s="139">
        <v>14.89</v>
      </c>
      <c r="R36" s="139">
        <v>0</v>
      </c>
      <c r="S36" s="139">
        <v>0</v>
      </c>
      <c r="T36" s="139">
        <f t="shared" si="34"/>
        <v>17.09</v>
      </c>
      <c r="U36" s="139">
        <f t="shared" si="35"/>
        <v>3497.87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4785.1599999999971</v>
      </c>
      <c r="D37" s="139">
        <v>2.96</v>
      </c>
      <c r="E37" s="139">
        <v>86.679999999999978</v>
      </c>
      <c r="F37" s="139">
        <v>0</v>
      </c>
      <c r="G37" s="139">
        <v>0</v>
      </c>
      <c r="H37" s="139">
        <f t="shared" si="32"/>
        <v>4788.1199999999972</v>
      </c>
      <c r="I37" s="139">
        <v>13.490000000000002</v>
      </c>
      <c r="J37" s="139">
        <v>0</v>
      </c>
      <c r="K37" s="139">
        <v>13.49</v>
      </c>
      <c r="L37" s="139">
        <v>0</v>
      </c>
      <c r="M37" s="139">
        <v>0</v>
      </c>
      <c r="N37" s="139">
        <f t="shared" si="33"/>
        <v>13.490000000000002</v>
      </c>
      <c r="O37" s="139">
        <v>3.1</v>
      </c>
      <c r="P37" s="139">
        <v>3.42</v>
      </c>
      <c r="Q37" s="139">
        <v>5.48</v>
      </c>
      <c r="R37" s="139">
        <v>0</v>
      </c>
      <c r="S37" s="139">
        <v>0</v>
      </c>
      <c r="T37" s="139">
        <f t="shared" si="34"/>
        <v>6.52</v>
      </c>
      <c r="U37" s="139">
        <f t="shared" si="35"/>
        <v>4808.1299999999974</v>
      </c>
    </row>
    <row r="38" spans="1:21" s="111" customFormat="1" ht="38.25" customHeight="1" x14ac:dyDescent="0.4">
      <c r="A38" s="313" t="s">
        <v>107</v>
      </c>
      <c r="B38" s="313"/>
      <c r="C38" s="141">
        <f>SUM(C34:C37)</f>
        <v>18767.769999999997</v>
      </c>
      <c r="D38" s="141">
        <f t="shared" ref="D38:T38" si="36">SUM(D34:D37)</f>
        <v>120.13</v>
      </c>
      <c r="E38" s="141">
        <f t="shared" si="36"/>
        <v>598.31000000000006</v>
      </c>
      <c r="F38" s="141">
        <f t="shared" si="36"/>
        <v>0</v>
      </c>
      <c r="G38" s="141">
        <f t="shared" si="36"/>
        <v>0</v>
      </c>
      <c r="H38" s="141">
        <f t="shared" si="36"/>
        <v>18887.899999999994</v>
      </c>
      <c r="I38" s="141">
        <f t="shared" si="36"/>
        <v>50.090000000000039</v>
      </c>
      <c r="J38" s="141">
        <f t="shared" si="36"/>
        <v>0</v>
      </c>
      <c r="K38" s="141">
        <f t="shared" si="36"/>
        <v>21.04</v>
      </c>
      <c r="L38" s="141">
        <f t="shared" si="36"/>
        <v>0</v>
      </c>
      <c r="M38" s="141">
        <f t="shared" si="36"/>
        <v>0</v>
      </c>
      <c r="N38" s="141">
        <f t="shared" si="36"/>
        <v>50.090000000000039</v>
      </c>
      <c r="O38" s="141">
        <f t="shared" si="36"/>
        <v>73.98</v>
      </c>
      <c r="P38" s="141">
        <f t="shared" si="36"/>
        <v>8.0500000000000007</v>
      </c>
      <c r="Q38" s="141">
        <f t="shared" si="36"/>
        <v>34.260000000000005</v>
      </c>
      <c r="R38" s="141">
        <f t="shared" si="36"/>
        <v>0</v>
      </c>
      <c r="S38" s="141">
        <f t="shared" si="36"/>
        <v>0</v>
      </c>
      <c r="T38" s="141">
        <f t="shared" si="36"/>
        <v>82.03</v>
      </c>
      <c r="U38" s="141">
        <f t="shared" si="10"/>
        <v>19020.019999999993</v>
      </c>
    </row>
    <row r="39" spans="1:21" s="145" customFormat="1" ht="38.25" customHeight="1" x14ac:dyDescent="0.4">
      <c r="A39" s="313" t="s">
        <v>108</v>
      </c>
      <c r="B39" s="313"/>
      <c r="C39" s="141">
        <f>C38+C33+C28</f>
        <v>40829.067800000004</v>
      </c>
      <c r="D39" s="141">
        <f t="shared" ref="D39:T39" si="37">D38+D33+D28</f>
        <v>151.21</v>
      </c>
      <c r="E39" s="141">
        <f t="shared" si="37"/>
        <v>1143.5030000000002</v>
      </c>
      <c r="F39" s="141">
        <f t="shared" si="37"/>
        <v>0</v>
      </c>
      <c r="G39" s="141">
        <f t="shared" si="37"/>
        <v>0</v>
      </c>
      <c r="H39" s="141">
        <f t="shared" si="37"/>
        <v>40980.277799999996</v>
      </c>
      <c r="I39" s="141">
        <f t="shared" si="37"/>
        <v>1349.9009999999998</v>
      </c>
      <c r="J39" s="141">
        <f t="shared" si="37"/>
        <v>33.76</v>
      </c>
      <c r="K39" s="141">
        <f t="shared" si="37"/>
        <v>192.11500000000001</v>
      </c>
      <c r="L39" s="141">
        <f t="shared" si="37"/>
        <v>0</v>
      </c>
      <c r="M39" s="141">
        <f t="shared" si="37"/>
        <v>0</v>
      </c>
      <c r="N39" s="141">
        <f t="shared" si="37"/>
        <v>1383.6610000000001</v>
      </c>
      <c r="O39" s="141">
        <f t="shared" si="37"/>
        <v>286.952</v>
      </c>
      <c r="P39" s="141">
        <f t="shared" si="37"/>
        <v>8.0500000000000007</v>
      </c>
      <c r="Q39" s="141">
        <f t="shared" si="37"/>
        <v>36.887</v>
      </c>
      <c r="R39" s="141">
        <f t="shared" si="37"/>
        <v>0</v>
      </c>
      <c r="S39" s="141">
        <f t="shared" si="37"/>
        <v>0</v>
      </c>
      <c r="T39" s="141">
        <f t="shared" si="37"/>
        <v>295.00200000000001</v>
      </c>
      <c r="U39" s="141">
        <f t="shared" si="10"/>
        <v>42658.940799999997</v>
      </c>
    </row>
    <row r="40" spans="1:21" ht="38.25" customHeight="1" x14ac:dyDescent="0.35">
      <c r="A40" s="171">
        <v>25</v>
      </c>
      <c r="B40" s="172" t="s">
        <v>109</v>
      </c>
      <c r="C40" s="139">
        <v>11271.444</v>
      </c>
      <c r="D40" s="139">
        <v>119</v>
      </c>
      <c r="E40" s="139">
        <v>395.584</v>
      </c>
      <c r="F40" s="139">
        <v>0</v>
      </c>
      <c r="G40" s="139">
        <v>0</v>
      </c>
      <c r="H40" s="139">
        <f t="shared" ref="H40:H43" si="38">C40+D40-F40</f>
        <v>11390.444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f t="shared" ref="N40:N43" si="39">I40+J40-L40</f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f t="shared" ref="T40:T43" si="40">O40+P40-R40</f>
        <v>0</v>
      </c>
      <c r="U40" s="139">
        <f t="shared" ref="U40:U43" si="41">H40+N40+T40</f>
        <v>11390.444</v>
      </c>
    </row>
    <row r="41" spans="1:21" ht="38.25" customHeight="1" x14ac:dyDescent="0.35">
      <c r="A41" s="171">
        <v>26</v>
      </c>
      <c r="B41" s="172" t="s">
        <v>110</v>
      </c>
      <c r="C41" s="139">
        <v>7452.5569999999952</v>
      </c>
      <c r="D41" s="139">
        <v>45.48</v>
      </c>
      <c r="E41" s="139">
        <v>426.351</v>
      </c>
      <c r="F41" s="139">
        <v>0</v>
      </c>
      <c r="G41" s="139">
        <v>0</v>
      </c>
      <c r="H41" s="139">
        <f t="shared" si="38"/>
        <v>7498.0369999999948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f t="shared" si="39"/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f t="shared" si="40"/>
        <v>0</v>
      </c>
      <c r="U41" s="139">
        <f t="shared" si="41"/>
        <v>7498.0369999999948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13768.408999999996</v>
      </c>
      <c r="D42" s="139">
        <v>37.03</v>
      </c>
      <c r="E42" s="139">
        <v>291.32299999999998</v>
      </c>
      <c r="F42" s="139">
        <v>0</v>
      </c>
      <c r="G42" s="139">
        <v>0</v>
      </c>
      <c r="H42" s="139">
        <f t="shared" si="38"/>
        <v>13805.438999999997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f t="shared" si="39"/>
        <v>0</v>
      </c>
      <c r="O42" s="139">
        <v>39.019999999999996</v>
      </c>
      <c r="P42" s="139">
        <v>0</v>
      </c>
      <c r="Q42" s="139">
        <v>5.67</v>
      </c>
      <c r="R42" s="139">
        <v>0</v>
      </c>
      <c r="S42" s="139">
        <v>0</v>
      </c>
      <c r="T42" s="139">
        <f t="shared" si="40"/>
        <v>39.019999999999996</v>
      </c>
      <c r="U42" s="139">
        <f t="shared" si="41"/>
        <v>13844.458999999997</v>
      </c>
    </row>
    <row r="43" spans="1:21" ht="38.25" customHeight="1" x14ac:dyDescent="0.35">
      <c r="A43" s="171">
        <v>28</v>
      </c>
      <c r="B43" s="172" t="s">
        <v>112</v>
      </c>
      <c r="C43" s="139">
        <v>3962.5800000000013</v>
      </c>
      <c r="D43" s="139">
        <v>4.9000000000000004</v>
      </c>
      <c r="E43" s="139">
        <v>101.44199999999999</v>
      </c>
      <c r="F43" s="139">
        <v>0</v>
      </c>
      <c r="G43" s="139">
        <v>0</v>
      </c>
      <c r="H43" s="139">
        <f t="shared" si="38"/>
        <v>3967.4800000000014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f t="shared" si="39"/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f t="shared" si="40"/>
        <v>0</v>
      </c>
      <c r="U43" s="139">
        <f t="shared" si="41"/>
        <v>3967.4800000000014</v>
      </c>
    </row>
    <row r="44" spans="1:21" s="111" customFormat="1" ht="38.25" customHeight="1" x14ac:dyDescent="0.4">
      <c r="A44" s="313" t="s">
        <v>109</v>
      </c>
      <c r="B44" s="313"/>
      <c r="C44" s="141">
        <f>SUM(C40:C43)</f>
        <v>36454.989999999991</v>
      </c>
      <c r="D44" s="141">
        <f t="shared" ref="D44:T44" si="42">SUM(D40:D43)</f>
        <v>206.41</v>
      </c>
      <c r="E44" s="141">
        <f t="shared" si="42"/>
        <v>1214.6999999999998</v>
      </c>
      <c r="F44" s="141">
        <f t="shared" si="42"/>
        <v>0</v>
      </c>
      <c r="G44" s="141">
        <f t="shared" si="42"/>
        <v>0</v>
      </c>
      <c r="H44" s="141">
        <f t="shared" si="42"/>
        <v>36661.399999999994</v>
      </c>
      <c r="I44" s="141">
        <f t="shared" si="42"/>
        <v>0</v>
      </c>
      <c r="J44" s="141">
        <f t="shared" si="42"/>
        <v>0</v>
      </c>
      <c r="K44" s="141">
        <f t="shared" si="42"/>
        <v>0</v>
      </c>
      <c r="L44" s="141">
        <f t="shared" si="42"/>
        <v>0</v>
      </c>
      <c r="M44" s="141">
        <f t="shared" si="42"/>
        <v>0</v>
      </c>
      <c r="N44" s="141">
        <f t="shared" si="42"/>
        <v>0</v>
      </c>
      <c r="O44" s="141">
        <f t="shared" si="42"/>
        <v>39.019999999999996</v>
      </c>
      <c r="P44" s="141">
        <f t="shared" si="42"/>
        <v>0</v>
      </c>
      <c r="Q44" s="141">
        <f t="shared" si="42"/>
        <v>5.67</v>
      </c>
      <c r="R44" s="141">
        <f t="shared" si="42"/>
        <v>0</v>
      </c>
      <c r="S44" s="141">
        <f t="shared" si="42"/>
        <v>0</v>
      </c>
      <c r="T44" s="141">
        <f t="shared" si="42"/>
        <v>39.019999999999996</v>
      </c>
      <c r="U44" s="141">
        <f t="shared" si="10"/>
        <v>36700.419999999991</v>
      </c>
    </row>
    <row r="45" spans="1:21" ht="38.25" customHeight="1" x14ac:dyDescent="0.35">
      <c r="A45" s="171">
        <v>29</v>
      </c>
      <c r="B45" s="172" t="s">
        <v>113</v>
      </c>
      <c r="C45" s="139">
        <v>8377.272100000002</v>
      </c>
      <c r="D45" s="139">
        <v>46.05</v>
      </c>
      <c r="E45" s="139">
        <v>341.34000000000003</v>
      </c>
      <c r="F45" s="139">
        <v>0</v>
      </c>
      <c r="G45" s="139">
        <v>6.46</v>
      </c>
      <c r="H45" s="139">
        <f t="shared" ref="H45:H48" si="43">C45+D45-F45</f>
        <v>8423.3221000000012</v>
      </c>
      <c r="I45" s="139">
        <v>14.04</v>
      </c>
      <c r="J45" s="139">
        <v>2.7199999999999998</v>
      </c>
      <c r="K45" s="139">
        <v>11.18</v>
      </c>
      <c r="L45" s="139">
        <v>0</v>
      </c>
      <c r="M45" s="139">
        <v>0</v>
      </c>
      <c r="N45" s="139">
        <f t="shared" ref="N45:N48" si="44">I45+J45-L45</f>
        <v>16.759999999999998</v>
      </c>
      <c r="O45" s="139">
        <v>14.75</v>
      </c>
      <c r="P45" s="139">
        <v>0</v>
      </c>
      <c r="Q45" s="139">
        <v>0.32</v>
      </c>
      <c r="R45" s="139">
        <v>0</v>
      </c>
      <c r="S45" s="139">
        <v>0</v>
      </c>
      <c r="T45" s="139">
        <f t="shared" ref="T45:T48" si="45">O45+P45-R45</f>
        <v>14.75</v>
      </c>
      <c r="U45" s="139">
        <f t="shared" ref="U45:U48" si="46">H45+N45+T45</f>
        <v>8454.8321000000014</v>
      </c>
    </row>
    <row r="46" spans="1:21" ht="38.25" customHeight="1" x14ac:dyDescent="0.35">
      <c r="A46" s="171">
        <v>30</v>
      </c>
      <c r="B46" s="172" t="s">
        <v>114</v>
      </c>
      <c r="C46" s="139">
        <v>7702.3550000000014</v>
      </c>
      <c r="D46" s="139">
        <v>36.14</v>
      </c>
      <c r="E46" s="139">
        <v>240.57</v>
      </c>
      <c r="F46" s="139">
        <v>0</v>
      </c>
      <c r="G46" s="139">
        <v>0</v>
      </c>
      <c r="H46" s="139">
        <f t="shared" si="43"/>
        <v>7738.4950000000017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f t="shared" si="44"/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f t="shared" si="45"/>
        <v>0</v>
      </c>
      <c r="U46" s="139">
        <f t="shared" si="46"/>
        <v>7738.4950000000017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8741.4000000000015</v>
      </c>
      <c r="D47" s="139">
        <v>43.24</v>
      </c>
      <c r="E47" s="139">
        <v>365.40999999999997</v>
      </c>
      <c r="F47" s="139">
        <v>0</v>
      </c>
      <c r="G47" s="139">
        <v>0</v>
      </c>
      <c r="H47" s="139">
        <f t="shared" si="43"/>
        <v>8784.6400000000012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f t="shared" si="44"/>
        <v>3.13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f t="shared" si="45"/>
        <v>0.03</v>
      </c>
      <c r="U47" s="139">
        <f t="shared" si="46"/>
        <v>8787.8000000000011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8163.7789999999995</v>
      </c>
      <c r="D48" s="139">
        <v>33.01</v>
      </c>
      <c r="E48" s="139">
        <v>576.35899999999992</v>
      </c>
      <c r="F48" s="139">
        <v>0</v>
      </c>
      <c r="G48" s="139">
        <v>0</v>
      </c>
      <c r="H48" s="139">
        <f t="shared" si="43"/>
        <v>8196.7889999999989</v>
      </c>
      <c r="I48" s="139">
        <v>3.8949999999999996</v>
      </c>
      <c r="J48" s="139">
        <v>1.1299999999999999</v>
      </c>
      <c r="K48" s="139">
        <v>4.5199999999999996</v>
      </c>
      <c r="L48" s="139">
        <v>0</v>
      </c>
      <c r="M48" s="139">
        <v>0</v>
      </c>
      <c r="N48" s="139">
        <f t="shared" si="44"/>
        <v>5.0249999999999995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f t="shared" si="45"/>
        <v>0</v>
      </c>
      <c r="U48" s="139">
        <f t="shared" si="46"/>
        <v>8201.8139999999985</v>
      </c>
    </row>
    <row r="49" spans="1:21" s="111" customFormat="1" ht="38.25" customHeight="1" x14ac:dyDescent="0.4">
      <c r="A49" s="313" t="s">
        <v>117</v>
      </c>
      <c r="B49" s="313"/>
      <c r="C49" s="141">
        <f>SUM(C45:C48)</f>
        <v>32984.806100000009</v>
      </c>
      <c r="D49" s="141">
        <f t="shared" ref="D49:T49" si="47">SUM(D45:D48)</f>
        <v>158.44</v>
      </c>
      <c r="E49" s="141">
        <f t="shared" si="47"/>
        <v>1523.6790000000001</v>
      </c>
      <c r="F49" s="141">
        <f t="shared" si="47"/>
        <v>0</v>
      </c>
      <c r="G49" s="141">
        <f t="shared" si="47"/>
        <v>6.46</v>
      </c>
      <c r="H49" s="141">
        <f t="shared" si="47"/>
        <v>33143.246100000004</v>
      </c>
      <c r="I49" s="141">
        <f t="shared" si="47"/>
        <v>21.064999999999998</v>
      </c>
      <c r="J49" s="141">
        <f t="shared" si="47"/>
        <v>3.8499999999999996</v>
      </c>
      <c r="K49" s="141">
        <f t="shared" si="47"/>
        <v>15.7</v>
      </c>
      <c r="L49" s="141">
        <f t="shared" si="47"/>
        <v>0</v>
      </c>
      <c r="M49" s="141">
        <f t="shared" si="47"/>
        <v>0</v>
      </c>
      <c r="N49" s="141">
        <f t="shared" si="47"/>
        <v>24.914999999999996</v>
      </c>
      <c r="O49" s="141">
        <f t="shared" si="47"/>
        <v>14.78</v>
      </c>
      <c r="P49" s="141">
        <f t="shared" si="47"/>
        <v>0</v>
      </c>
      <c r="Q49" s="141">
        <f t="shared" si="47"/>
        <v>0.32</v>
      </c>
      <c r="R49" s="141">
        <f t="shared" si="47"/>
        <v>0</v>
      </c>
      <c r="S49" s="141">
        <f t="shared" si="47"/>
        <v>0</v>
      </c>
      <c r="T49" s="141">
        <f t="shared" si="47"/>
        <v>14.78</v>
      </c>
      <c r="U49" s="141">
        <f t="shared" si="10"/>
        <v>33182.941100000004</v>
      </c>
    </row>
    <row r="50" spans="1:21" s="145" customFormat="1" ht="38.25" customHeight="1" x14ac:dyDescent="0.4">
      <c r="A50" s="313" t="s">
        <v>118</v>
      </c>
      <c r="B50" s="313"/>
      <c r="C50" s="141">
        <f>C49+C44</f>
        <v>69439.796100000007</v>
      </c>
      <c r="D50" s="141">
        <f t="shared" ref="D50:U50" si="48">D49+D44</f>
        <v>364.85</v>
      </c>
      <c r="E50" s="141">
        <f t="shared" si="48"/>
        <v>2738.3789999999999</v>
      </c>
      <c r="F50" s="141">
        <f t="shared" si="48"/>
        <v>0</v>
      </c>
      <c r="G50" s="141">
        <f t="shared" si="48"/>
        <v>6.46</v>
      </c>
      <c r="H50" s="141">
        <f t="shared" si="48"/>
        <v>69804.646099999998</v>
      </c>
      <c r="I50" s="141">
        <f t="shared" si="48"/>
        <v>21.064999999999998</v>
      </c>
      <c r="J50" s="141">
        <f t="shared" si="48"/>
        <v>3.8499999999999996</v>
      </c>
      <c r="K50" s="141">
        <f t="shared" si="48"/>
        <v>15.7</v>
      </c>
      <c r="L50" s="141">
        <f t="shared" si="48"/>
        <v>0</v>
      </c>
      <c r="M50" s="141">
        <f t="shared" si="48"/>
        <v>0</v>
      </c>
      <c r="N50" s="141">
        <f t="shared" si="48"/>
        <v>24.914999999999996</v>
      </c>
      <c r="O50" s="141">
        <f t="shared" si="48"/>
        <v>53.8</v>
      </c>
      <c r="P50" s="141">
        <f t="shared" si="48"/>
        <v>0</v>
      </c>
      <c r="Q50" s="141">
        <f t="shared" si="48"/>
        <v>5.99</v>
      </c>
      <c r="R50" s="141">
        <f t="shared" si="48"/>
        <v>0</v>
      </c>
      <c r="S50" s="141">
        <f t="shared" si="48"/>
        <v>0</v>
      </c>
      <c r="T50" s="141">
        <f t="shared" si="48"/>
        <v>53.8</v>
      </c>
      <c r="U50" s="141">
        <f t="shared" si="48"/>
        <v>69883.361099999995</v>
      </c>
    </row>
    <row r="51" spans="1:21" s="146" customFormat="1" ht="38.25" customHeight="1" x14ac:dyDescent="0.4">
      <c r="A51" s="313" t="s">
        <v>119</v>
      </c>
      <c r="B51" s="313"/>
      <c r="C51" s="141">
        <f>C11+C15+C19+C24+C28+C33+C38+C44+C49</f>
        <v>115111.67989999999</v>
      </c>
      <c r="D51" s="141">
        <f t="shared" ref="D51:U51" si="49">D11+D15+D19+D24+D28+D33+D38+D44+D49</f>
        <v>517.24</v>
      </c>
      <c r="E51" s="141">
        <f t="shared" si="49"/>
        <v>3906.0720000000001</v>
      </c>
      <c r="F51" s="141">
        <f t="shared" si="49"/>
        <v>216.43</v>
      </c>
      <c r="G51" s="141">
        <f t="shared" si="49"/>
        <v>626.89799999999991</v>
      </c>
      <c r="H51" s="141">
        <f t="shared" si="49"/>
        <v>115412.4899</v>
      </c>
      <c r="I51" s="141">
        <f t="shared" si="49"/>
        <v>7940.2</v>
      </c>
      <c r="J51" s="141">
        <f t="shared" si="49"/>
        <v>490.49400000000003</v>
      </c>
      <c r="K51" s="141">
        <f t="shared" si="49"/>
        <v>1525.749</v>
      </c>
      <c r="L51" s="141">
        <f t="shared" si="49"/>
        <v>0</v>
      </c>
      <c r="M51" s="141">
        <f t="shared" si="49"/>
        <v>19.510000000000002</v>
      </c>
      <c r="N51" s="141">
        <f t="shared" si="49"/>
        <v>8430.6940000000013</v>
      </c>
      <c r="O51" s="141">
        <f t="shared" si="49"/>
        <v>946.04399999999998</v>
      </c>
      <c r="P51" s="141">
        <f t="shared" si="49"/>
        <v>8.15</v>
      </c>
      <c r="Q51" s="141">
        <f t="shared" si="49"/>
        <v>49.26700000000001</v>
      </c>
      <c r="R51" s="141">
        <f t="shared" si="49"/>
        <v>12.714</v>
      </c>
      <c r="S51" s="141">
        <f t="shared" si="49"/>
        <v>32.498999999999995</v>
      </c>
      <c r="T51" s="141">
        <f t="shared" si="49"/>
        <v>941.48</v>
      </c>
      <c r="U51" s="141">
        <f t="shared" si="49"/>
        <v>124784.66389999999</v>
      </c>
    </row>
    <row r="52" spans="1:21" s="111" customFormat="1" ht="24" customHeight="1" x14ac:dyDescent="0.4">
      <c r="A52" s="115"/>
      <c r="B52" s="11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</row>
    <row r="53" spans="1:21" s="111" customFormat="1" ht="19.5" customHeight="1" x14ac:dyDescent="0.4">
      <c r="A53" s="115"/>
      <c r="B53" s="115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</row>
    <row r="54" spans="1:21" s="115" customFormat="1" ht="24.75" hidden="1" customHeight="1" x14ac:dyDescent="0.4">
      <c r="B54" s="222"/>
      <c r="C54" s="278" t="s">
        <v>54</v>
      </c>
      <c r="D54" s="278"/>
      <c r="E54" s="278"/>
      <c r="F54" s="278"/>
      <c r="G54" s="278"/>
      <c r="H54" s="118"/>
      <c r="I54" s="222"/>
      <c r="J54" s="222">
        <f>D51+J51+P51-F51-L51-R51</f>
        <v>786.7399999999999</v>
      </c>
      <c r="K54" s="222"/>
      <c r="L54" s="222"/>
      <c r="M54" s="222"/>
      <c r="N54" s="222"/>
      <c r="R54" s="222"/>
      <c r="U54" s="222"/>
    </row>
    <row r="55" spans="1:21" s="115" customFormat="1" ht="30" hidden="1" customHeight="1" x14ac:dyDescent="0.35">
      <c r="B55" s="222"/>
      <c r="C55" s="278" t="s">
        <v>55</v>
      </c>
      <c r="D55" s="278"/>
      <c r="E55" s="278"/>
      <c r="F55" s="278"/>
      <c r="G55" s="278"/>
      <c r="H55" s="119"/>
      <c r="I55" s="222"/>
      <c r="J55" s="222">
        <f>E51+K51+Q51-G51-M51-S51</f>
        <v>4802.1809999999996</v>
      </c>
      <c r="K55" s="222"/>
      <c r="L55" s="222"/>
      <c r="M55" s="222"/>
      <c r="N55" s="222"/>
      <c r="R55" s="222"/>
      <c r="T55" s="222"/>
    </row>
    <row r="56" spans="1:21" ht="33" hidden="1" customHeight="1" x14ac:dyDescent="0.5">
      <c r="C56" s="278" t="s">
        <v>56</v>
      </c>
      <c r="D56" s="278"/>
      <c r="E56" s="278"/>
      <c r="F56" s="278"/>
      <c r="G56" s="278"/>
      <c r="H56" s="119"/>
      <c r="I56" s="121"/>
      <c r="J56" s="222">
        <f>H51+N51+T51</f>
        <v>124784.6639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22"/>
      <c r="E57" s="222"/>
      <c r="F57" s="222"/>
      <c r="G57" s="222"/>
      <c r="H57" s="119"/>
      <c r="I57" s="121"/>
      <c r="J57" s="222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22"/>
      <c r="E58" s="222"/>
      <c r="F58" s="222"/>
      <c r="G58" s="222"/>
      <c r="H58" s="119"/>
      <c r="I58" s="121"/>
      <c r="J58" s="222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87" t="s">
        <v>57</v>
      </c>
      <c r="C59" s="287"/>
      <c r="D59" s="287"/>
      <c r="E59" s="287"/>
      <c r="F59" s="287"/>
      <c r="G59" s="153"/>
      <c r="H59" s="154"/>
      <c r="I59" s="155"/>
      <c r="J59" s="288"/>
      <c r="K59" s="286"/>
      <c r="L59" s="286"/>
      <c r="M59" s="169" t="e">
        <f>#REF!+'dec-2021'!J54</f>
        <v>#REF!</v>
      </c>
      <c r="N59" s="154"/>
      <c r="O59" s="154"/>
      <c r="P59" s="225"/>
      <c r="Q59" s="287" t="s">
        <v>58</v>
      </c>
      <c r="R59" s="287"/>
      <c r="S59" s="287"/>
      <c r="T59" s="287"/>
      <c r="U59" s="287"/>
    </row>
    <row r="60" spans="1:21" s="152" customFormat="1" ht="37.5" hidden="1" customHeight="1" x14ac:dyDescent="0.45">
      <c r="B60" s="287" t="s">
        <v>59</v>
      </c>
      <c r="C60" s="287"/>
      <c r="D60" s="287"/>
      <c r="E60" s="287"/>
      <c r="F60" s="287"/>
      <c r="G60" s="154"/>
      <c r="H60" s="153"/>
      <c r="I60" s="156"/>
      <c r="J60" s="157"/>
      <c r="K60" s="224"/>
      <c r="L60" s="157"/>
      <c r="M60" s="154"/>
      <c r="N60" s="153"/>
      <c r="O60" s="154"/>
      <c r="P60" s="225"/>
      <c r="Q60" s="287" t="s">
        <v>59</v>
      </c>
      <c r="R60" s="287"/>
      <c r="S60" s="287"/>
      <c r="T60" s="287"/>
      <c r="U60" s="287"/>
    </row>
    <row r="61" spans="1:21" s="152" customFormat="1" ht="37.5" hidden="1" customHeight="1" x14ac:dyDescent="0.45">
      <c r="I61" s="158"/>
      <c r="J61" s="286" t="s">
        <v>61</v>
      </c>
      <c r="K61" s="286"/>
      <c r="L61" s="286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86" t="s">
        <v>62</v>
      </c>
      <c r="K62" s="286"/>
      <c r="L62" s="286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="55" zoomScaleNormal="55" workbookViewId="0">
      <selection activeCell="J12" sqref="J12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145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53" t="s">
        <v>122</v>
      </c>
      <c r="B4" s="355" t="s">
        <v>121</v>
      </c>
      <c r="C4" s="358" t="s">
        <v>131</v>
      </c>
      <c r="D4" s="359"/>
      <c r="E4" s="359"/>
      <c r="F4" s="359"/>
      <c r="G4" s="359"/>
      <c r="H4" s="359"/>
      <c r="I4" s="358" t="s">
        <v>146</v>
      </c>
      <c r="J4" s="359"/>
      <c r="K4" s="359"/>
      <c r="L4" s="359"/>
      <c r="M4" s="359"/>
      <c r="N4" s="359"/>
      <c r="O4" s="358" t="s">
        <v>147</v>
      </c>
      <c r="P4" s="359"/>
      <c r="Q4" s="359"/>
      <c r="R4" s="359"/>
      <c r="S4" s="359"/>
      <c r="T4" s="359"/>
      <c r="U4" s="226"/>
    </row>
    <row r="5" spans="1:21" s="108" customFormat="1" ht="54.75" customHeight="1" x14ac:dyDescent="0.25">
      <c r="A5" s="354"/>
      <c r="B5" s="356"/>
      <c r="C5" s="349" t="s">
        <v>6</v>
      </c>
      <c r="D5" s="351" t="s">
        <v>127</v>
      </c>
      <c r="E5" s="352"/>
      <c r="F5" s="351" t="s">
        <v>126</v>
      </c>
      <c r="G5" s="352"/>
      <c r="H5" s="349" t="s">
        <v>9</v>
      </c>
      <c r="I5" s="349" t="s">
        <v>6</v>
      </c>
      <c r="J5" s="351" t="s">
        <v>127</v>
      </c>
      <c r="K5" s="352"/>
      <c r="L5" s="351" t="s">
        <v>126</v>
      </c>
      <c r="M5" s="352"/>
      <c r="N5" s="349" t="s">
        <v>9</v>
      </c>
      <c r="O5" s="349" t="s">
        <v>6</v>
      </c>
      <c r="P5" s="351" t="s">
        <v>127</v>
      </c>
      <c r="Q5" s="352"/>
      <c r="R5" s="351" t="s">
        <v>126</v>
      </c>
      <c r="S5" s="352"/>
      <c r="T5" s="349" t="s">
        <v>9</v>
      </c>
      <c r="U5" s="355" t="s">
        <v>128</v>
      </c>
    </row>
    <row r="6" spans="1:21" s="108" customFormat="1" ht="38.25" customHeight="1" x14ac:dyDescent="0.25">
      <c r="A6" s="354"/>
      <c r="B6" s="357"/>
      <c r="C6" s="350"/>
      <c r="D6" s="231" t="s">
        <v>124</v>
      </c>
      <c r="E6" s="231" t="s">
        <v>125</v>
      </c>
      <c r="F6" s="231" t="s">
        <v>124</v>
      </c>
      <c r="G6" s="231" t="s">
        <v>125</v>
      </c>
      <c r="H6" s="350"/>
      <c r="I6" s="350"/>
      <c r="J6" s="231" t="s">
        <v>124</v>
      </c>
      <c r="K6" s="231" t="s">
        <v>125</v>
      </c>
      <c r="L6" s="231" t="s">
        <v>124</v>
      </c>
      <c r="M6" s="231" t="s">
        <v>125</v>
      </c>
      <c r="N6" s="350"/>
      <c r="O6" s="350"/>
      <c r="P6" s="231" t="s">
        <v>124</v>
      </c>
      <c r="Q6" s="231" t="s">
        <v>125</v>
      </c>
      <c r="R6" s="231" t="s">
        <v>124</v>
      </c>
      <c r="S6" s="231" t="s">
        <v>125</v>
      </c>
      <c r="T6" s="350"/>
      <c r="U6" s="357"/>
    </row>
    <row r="7" spans="1:21" ht="38.25" customHeight="1" x14ac:dyDescent="0.35">
      <c r="A7" s="230">
        <v>1</v>
      </c>
      <c r="B7" s="231" t="s">
        <v>78</v>
      </c>
      <c r="C7" s="139">
        <v>90.039999999999978</v>
      </c>
      <c r="D7" s="139">
        <v>0</v>
      </c>
      <c r="E7" s="139">
        <f>D7</f>
        <v>0</v>
      </c>
      <c r="F7" s="139">
        <v>0</v>
      </c>
      <c r="G7" s="139">
        <f>F7</f>
        <v>0</v>
      </c>
      <c r="H7" s="139">
        <f>C7+D7-F7</f>
        <v>90.039999999999978</v>
      </c>
      <c r="I7" s="139">
        <v>584.21699999999987</v>
      </c>
      <c r="J7" s="139">
        <v>0.875</v>
      </c>
      <c r="K7" s="139">
        <f>J7</f>
        <v>0.875</v>
      </c>
      <c r="L7" s="139">
        <v>0</v>
      </c>
      <c r="M7" s="139">
        <f>L7</f>
        <v>0</v>
      </c>
      <c r="N7" s="139">
        <f>I7+J7-L7</f>
        <v>585.09199999999987</v>
      </c>
      <c r="O7" s="139">
        <v>9.4460000000000068</v>
      </c>
      <c r="P7" s="139">
        <v>0</v>
      </c>
      <c r="Q7" s="139">
        <f>P7</f>
        <v>0</v>
      </c>
      <c r="R7" s="139">
        <v>1.01</v>
      </c>
      <c r="S7" s="139">
        <f>R7</f>
        <v>1.01</v>
      </c>
      <c r="T7" s="139">
        <f>O7+P7-R7</f>
        <v>8.436000000000007</v>
      </c>
      <c r="U7" s="139">
        <f>H7+N7+T7</f>
        <v>683.56799999999987</v>
      </c>
    </row>
    <row r="8" spans="1:21" ht="38.25" customHeight="1" x14ac:dyDescent="0.35">
      <c r="A8" s="230">
        <v>2</v>
      </c>
      <c r="B8" s="231" t="s">
        <v>79</v>
      </c>
      <c r="C8" s="139">
        <v>265.39</v>
      </c>
      <c r="D8" s="139">
        <v>0</v>
      </c>
      <c r="E8" s="139">
        <f t="shared" ref="E8:E10" si="0">D8</f>
        <v>0</v>
      </c>
      <c r="F8" s="139">
        <v>0</v>
      </c>
      <c r="G8" s="139">
        <f t="shared" ref="G8:G10" si="1">F8</f>
        <v>0</v>
      </c>
      <c r="H8" s="139">
        <f t="shared" ref="H8:H10" si="2">C8+D8-F8</f>
        <v>265.39</v>
      </c>
      <c r="I8" s="139">
        <v>311.97999999999996</v>
      </c>
      <c r="J8" s="139">
        <v>1.175</v>
      </c>
      <c r="K8" s="139">
        <f t="shared" ref="K8:K10" si="3">J8</f>
        <v>1.175</v>
      </c>
      <c r="L8" s="139">
        <v>0</v>
      </c>
      <c r="M8" s="139">
        <f t="shared" ref="M8:M10" si="4">L8</f>
        <v>0</v>
      </c>
      <c r="N8" s="139">
        <f t="shared" ref="N8:N10" si="5">I8+J8-L8</f>
        <v>313.15499999999997</v>
      </c>
      <c r="O8" s="139">
        <v>66.290000000000006</v>
      </c>
      <c r="P8" s="139">
        <v>0</v>
      </c>
      <c r="Q8" s="139">
        <f t="shared" ref="Q8:Q10" si="6">P8</f>
        <v>0</v>
      </c>
      <c r="R8" s="139">
        <v>0</v>
      </c>
      <c r="S8" s="139">
        <f t="shared" ref="S8:S10" si="7">R8</f>
        <v>0</v>
      </c>
      <c r="T8" s="139">
        <f t="shared" ref="T8:T10" si="8">O8+P8-R8</f>
        <v>66.290000000000006</v>
      </c>
      <c r="U8" s="139">
        <f t="shared" ref="U8:U10" si="9">H8+N8+T8</f>
        <v>644.83499999999992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f t="shared" si="0"/>
        <v>0</v>
      </c>
      <c r="F9" s="139">
        <v>0</v>
      </c>
      <c r="G9" s="139">
        <f t="shared" si="1"/>
        <v>0</v>
      </c>
      <c r="H9" s="139">
        <f t="shared" si="2"/>
        <v>209.16</v>
      </c>
      <c r="I9" s="139">
        <v>701.02800000000002</v>
      </c>
      <c r="J9" s="139">
        <v>2.87</v>
      </c>
      <c r="K9" s="139">
        <f t="shared" si="3"/>
        <v>2.87</v>
      </c>
      <c r="L9" s="139">
        <v>0</v>
      </c>
      <c r="M9" s="139">
        <f t="shared" si="4"/>
        <v>0</v>
      </c>
      <c r="N9" s="139">
        <f t="shared" si="5"/>
        <v>703.89800000000002</v>
      </c>
      <c r="O9" s="139">
        <v>44.739999999999995</v>
      </c>
      <c r="P9" s="139">
        <v>0</v>
      </c>
      <c r="Q9" s="139">
        <f t="shared" si="6"/>
        <v>0</v>
      </c>
      <c r="R9" s="139">
        <v>0</v>
      </c>
      <c r="S9" s="139">
        <f t="shared" si="7"/>
        <v>0</v>
      </c>
      <c r="T9" s="139">
        <f t="shared" si="8"/>
        <v>44.739999999999995</v>
      </c>
      <c r="U9" s="139">
        <f t="shared" si="9"/>
        <v>957.798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f t="shared" si="0"/>
        <v>0</v>
      </c>
      <c r="F10" s="139">
        <v>0</v>
      </c>
      <c r="G10" s="139">
        <f t="shared" si="1"/>
        <v>0</v>
      </c>
      <c r="H10" s="139">
        <f t="shared" si="2"/>
        <v>0</v>
      </c>
      <c r="I10" s="139">
        <v>342.37499999999994</v>
      </c>
      <c r="J10" s="139">
        <f>0.665+0.73</f>
        <v>1.395</v>
      </c>
      <c r="K10" s="139">
        <f t="shared" si="3"/>
        <v>1.395</v>
      </c>
      <c r="L10" s="139">
        <v>0</v>
      </c>
      <c r="M10" s="139">
        <f t="shared" si="4"/>
        <v>0</v>
      </c>
      <c r="N10" s="139">
        <f t="shared" si="5"/>
        <v>343.76999999999992</v>
      </c>
      <c r="O10" s="139">
        <v>0.20000000000000007</v>
      </c>
      <c r="P10" s="139">
        <v>0</v>
      </c>
      <c r="Q10" s="139">
        <f t="shared" si="6"/>
        <v>0</v>
      </c>
      <c r="R10" s="139">
        <v>0</v>
      </c>
      <c r="S10" s="139">
        <f t="shared" si="7"/>
        <v>0</v>
      </c>
      <c r="T10" s="139">
        <f t="shared" si="8"/>
        <v>0.20000000000000007</v>
      </c>
      <c r="U10" s="139">
        <f t="shared" si="9"/>
        <v>343.96999999999991</v>
      </c>
    </row>
    <row r="11" spans="1:21" s="111" customFormat="1" ht="38.25" customHeight="1" x14ac:dyDescent="0.4">
      <c r="A11" s="308" t="s">
        <v>82</v>
      </c>
      <c r="B11" s="309"/>
      <c r="C11" s="141">
        <f>SUM(C7:C10)</f>
        <v>564.58999999999992</v>
      </c>
      <c r="D11" s="141">
        <f t="shared" ref="D11:T11" si="10">SUM(D7:D10)</f>
        <v>0</v>
      </c>
      <c r="E11" s="141">
        <f t="shared" si="10"/>
        <v>0</v>
      </c>
      <c r="F11" s="141">
        <f t="shared" si="10"/>
        <v>0</v>
      </c>
      <c r="G11" s="141">
        <f t="shared" si="10"/>
        <v>0</v>
      </c>
      <c r="H11" s="141">
        <f t="shared" si="10"/>
        <v>564.58999999999992</v>
      </c>
      <c r="I11" s="141">
        <f t="shared" si="10"/>
        <v>1939.6</v>
      </c>
      <c r="J11" s="141">
        <f t="shared" si="10"/>
        <v>6.3149999999999995</v>
      </c>
      <c r="K11" s="141">
        <f t="shared" si="10"/>
        <v>6.3149999999999995</v>
      </c>
      <c r="L11" s="141">
        <f t="shared" si="10"/>
        <v>0</v>
      </c>
      <c r="M11" s="141">
        <f t="shared" si="10"/>
        <v>0</v>
      </c>
      <c r="N11" s="141">
        <f t="shared" si="10"/>
        <v>1945.915</v>
      </c>
      <c r="O11" s="141">
        <f t="shared" si="10"/>
        <v>120.67600000000002</v>
      </c>
      <c r="P11" s="141">
        <f t="shared" si="10"/>
        <v>0</v>
      </c>
      <c r="Q11" s="141">
        <f t="shared" si="10"/>
        <v>0</v>
      </c>
      <c r="R11" s="141">
        <f t="shared" si="10"/>
        <v>1.01</v>
      </c>
      <c r="S11" s="141">
        <f t="shared" si="10"/>
        <v>1.01</v>
      </c>
      <c r="T11" s="141">
        <f t="shared" si="10"/>
        <v>119.66600000000001</v>
      </c>
      <c r="U11" s="141">
        <f>U10+U9+U8+U7</f>
        <v>2630.1709999999998</v>
      </c>
    </row>
    <row r="12" spans="1:21" ht="38.25" customHeight="1" x14ac:dyDescent="0.35">
      <c r="A12" s="171">
        <v>4</v>
      </c>
      <c r="B12" s="231" t="s">
        <v>83</v>
      </c>
      <c r="C12" s="139">
        <v>355.3099999999996</v>
      </c>
      <c r="D12" s="139">
        <v>0</v>
      </c>
      <c r="E12" s="139">
        <f t="shared" ref="E12:E14" si="11">D12</f>
        <v>0</v>
      </c>
      <c r="F12" s="139">
        <v>0</v>
      </c>
      <c r="G12" s="139">
        <f t="shared" ref="G12:G14" si="12">F12</f>
        <v>0</v>
      </c>
      <c r="H12" s="139">
        <f t="shared" ref="H12:H14" si="13">C12+D12-F12</f>
        <v>355.3099999999996</v>
      </c>
      <c r="I12" s="139">
        <v>804.70499999999993</v>
      </c>
      <c r="J12" s="221">
        <v>0.46</v>
      </c>
      <c r="K12" s="139">
        <f t="shared" ref="K12:K14" si="14">J12</f>
        <v>0.46</v>
      </c>
      <c r="L12" s="139">
        <v>0</v>
      </c>
      <c r="M12" s="139">
        <f t="shared" ref="M12:M14" si="15">L12</f>
        <v>0</v>
      </c>
      <c r="N12" s="139">
        <f t="shared" ref="N12:N14" si="16">I12+J12-L12</f>
        <v>805.16499999999996</v>
      </c>
      <c r="O12" s="139">
        <v>36.850000000000009</v>
      </c>
      <c r="P12" s="139">
        <v>0</v>
      </c>
      <c r="Q12" s="139">
        <f t="shared" ref="Q12:Q14" si="17">P12</f>
        <v>0</v>
      </c>
      <c r="R12" s="139">
        <v>0</v>
      </c>
      <c r="S12" s="139">
        <f t="shared" ref="S12:S14" si="18">R12</f>
        <v>0</v>
      </c>
      <c r="T12" s="139">
        <f t="shared" ref="T12:T14" si="19">O12+P12-R12</f>
        <v>36.850000000000009</v>
      </c>
      <c r="U12" s="139">
        <f t="shared" ref="U12:U14" si="20">H12+N12+T12</f>
        <v>1197.3249999999994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f t="shared" si="11"/>
        <v>0</v>
      </c>
      <c r="F13" s="139">
        <v>0</v>
      </c>
      <c r="G13" s="139">
        <f t="shared" si="12"/>
        <v>0</v>
      </c>
      <c r="H13" s="139">
        <f t="shared" si="13"/>
        <v>312.23000000000013</v>
      </c>
      <c r="I13" s="139">
        <v>528.53200000000027</v>
      </c>
      <c r="J13" s="221">
        <v>0.98</v>
      </c>
      <c r="K13" s="139">
        <f t="shared" si="14"/>
        <v>0.98</v>
      </c>
      <c r="L13" s="139">
        <v>0</v>
      </c>
      <c r="M13" s="139">
        <f t="shared" si="15"/>
        <v>0</v>
      </c>
      <c r="N13" s="139">
        <f t="shared" si="16"/>
        <v>529.51200000000028</v>
      </c>
      <c r="O13" s="139">
        <v>68.39</v>
      </c>
      <c r="P13" s="139">
        <v>0</v>
      </c>
      <c r="Q13" s="139">
        <f t="shared" si="17"/>
        <v>0</v>
      </c>
      <c r="R13" s="139">
        <v>0</v>
      </c>
      <c r="S13" s="139">
        <f t="shared" si="18"/>
        <v>0</v>
      </c>
      <c r="T13" s="139">
        <f t="shared" si="19"/>
        <v>68.39</v>
      </c>
      <c r="U13" s="139">
        <f t="shared" si="20"/>
        <v>910.1320000000004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f t="shared" si="11"/>
        <v>0</v>
      </c>
      <c r="F14" s="139">
        <v>0</v>
      </c>
      <c r="G14" s="139">
        <f t="shared" si="12"/>
        <v>0</v>
      </c>
      <c r="H14" s="139">
        <f t="shared" si="13"/>
        <v>1216.4399999999994</v>
      </c>
      <c r="I14" s="139">
        <v>864.78800000000024</v>
      </c>
      <c r="J14" s="221">
        <v>2.8</v>
      </c>
      <c r="K14" s="139">
        <f t="shared" si="14"/>
        <v>2.8</v>
      </c>
      <c r="L14" s="139">
        <v>0</v>
      </c>
      <c r="M14" s="139">
        <f t="shared" si="15"/>
        <v>0</v>
      </c>
      <c r="N14" s="139">
        <f t="shared" si="16"/>
        <v>867.58800000000019</v>
      </c>
      <c r="O14" s="139">
        <v>61.329999999999991</v>
      </c>
      <c r="P14" s="139">
        <v>0</v>
      </c>
      <c r="Q14" s="139">
        <f t="shared" si="17"/>
        <v>0</v>
      </c>
      <c r="R14" s="139">
        <v>0</v>
      </c>
      <c r="S14" s="139">
        <f t="shared" si="18"/>
        <v>0</v>
      </c>
      <c r="T14" s="139">
        <f t="shared" si="19"/>
        <v>61.329999999999991</v>
      </c>
      <c r="U14" s="139">
        <f t="shared" si="20"/>
        <v>2145.3579999999993</v>
      </c>
    </row>
    <row r="15" spans="1:21" s="111" customFormat="1" ht="38.25" customHeight="1" x14ac:dyDescent="0.4">
      <c r="A15" s="308" t="s">
        <v>86</v>
      </c>
      <c r="B15" s="309"/>
      <c r="C15" s="141">
        <f>SUM(C12:C14)</f>
        <v>1883.9799999999991</v>
      </c>
      <c r="D15" s="141">
        <f t="shared" ref="D15:T15" si="21">SUM(D12:D14)</f>
        <v>0</v>
      </c>
      <c r="E15" s="141">
        <f t="shared" si="21"/>
        <v>0</v>
      </c>
      <c r="F15" s="141">
        <f t="shared" si="21"/>
        <v>0</v>
      </c>
      <c r="G15" s="141">
        <f t="shared" si="21"/>
        <v>0</v>
      </c>
      <c r="H15" s="141">
        <f t="shared" si="21"/>
        <v>1883.9799999999991</v>
      </c>
      <c r="I15" s="141">
        <f t="shared" si="21"/>
        <v>2198.0250000000005</v>
      </c>
      <c r="J15" s="141">
        <f t="shared" si="21"/>
        <v>4.24</v>
      </c>
      <c r="K15" s="141">
        <f t="shared" si="21"/>
        <v>4.24</v>
      </c>
      <c r="L15" s="141">
        <f t="shared" si="21"/>
        <v>0</v>
      </c>
      <c r="M15" s="141">
        <f t="shared" si="21"/>
        <v>0</v>
      </c>
      <c r="N15" s="141">
        <f t="shared" si="21"/>
        <v>2202.2650000000003</v>
      </c>
      <c r="O15" s="141">
        <f t="shared" si="21"/>
        <v>166.57</v>
      </c>
      <c r="P15" s="141">
        <f t="shared" si="21"/>
        <v>0</v>
      </c>
      <c r="Q15" s="141">
        <f t="shared" si="21"/>
        <v>0</v>
      </c>
      <c r="R15" s="141">
        <f t="shared" si="21"/>
        <v>0</v>
      </c>
      <c r="S15" s="141">
        <f t="shared" si="21"/>
        <v>0</v>
      </c>
      <c r="T15" s="141">
        <f t="shared" si="21"/>
        <v>166.57</v>
      </c>
      <c r="U15" s="141">
        <f t="shared" ref="U15:U49" si="22">T15+N15+H15</f>
        <v>4252.8149999999996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993.84400000000039</v>
      </c>
      <c r="D16" s="139">
        <v>0.28999999999999998</v>
      </c>
      <c r="E16" s="139">
        <f t="shared" ref="E16:E18" si="23">D16</f>
        <v>0.28999999999999998</v>
      </c>
      <c r="F16" s="139">
        <v>0</v>
      </c>
      <c r="G16" s="139">
        <f t="shared" ref="G16:G18" si="24">F16</f>
        <v>0</v>
      </c>
      <c r="H16" s="139">
        <f t="shared" ref="H16:H18" si="25">C16+D16-F16</f>
        <v>994.13400000000036</v>
      </c>
      <c r="I16" s="139">
        <v>299.04599999999999</v>
      </c>
      <c r="J16" s="139">
        <v>0.13</v>
      </c>
      <c r="K16" s="139">
        <f t="shared" ref="K16:K18" si="26">J16</f>
        <v>0.13</v>
      </c>
      <c r="L16" s="139">
        <v>0</v>
      </c>
      <c r="M16" s="139">
        <f t="shared" ref="M16:M18" si="27">L16</f>
        <v>0</v>
      </c>
      <c r="N16" s="139">
        <f t="shared" ref="N16:N18" si="28">I16+J16-L16</f>
        <v>299.17599999999999</v>
      </c>
      <c r="O16" s="139">
        <v>177.41200000000003</v>
      </c>
      <c r="P16" s="139">
        <v>0</v>
      </c>
      <c r="Q16" s="139">
        <f t="shared" ref="Q16:Q18" si="29">P16</f>
        <v>0</v>
      </c>
      <c r="R16" s="139">
        <v>0</v>
      </c>
      <c r="S16" s="139">
        <f t="shared" ref="S16:S18" si="30">R16</f>
        <v>0</v>
      </c>
      <c r="T16" s="139">
        <f t="shared" ref="T16:T18" si="31">O16+P16-R16</f>
        <v>177.41200000000003</v>
      </c>
      <c r="U16" s="139">
        <f t="shared" ref="U16:U18" si="32">H16+N16+T16</f>
        <v>1470.7220000000004</v>
      </c>
    </row>
    <row r="17" spans="1:21" ht="38.25" customHeight="1" x14ac:dyDescent="0.35">
      <c r="A17" s="171">
        <v>9</v>
      </c>
      <c r="B17" s="231" t="s">
        <v>120</v>
      </c>
      <c r="C17" s="139">
        <v>6.415999999999948</v>
      </c>
      <c r="D17" s="139">
        <v>0</v>
      </c>
      <c r="E17" s="139">
        <f t="shared" si="23"/>
        <v>0</v>
      </c>
      <c r="F17" s="139">
        <v>0</v>
      </c>
      <c r="G17" s="139">
        <f t="shared" si="24"/>
        <v>0</v>
      </c>
      <c r="H17" s="139">
        <f t="shared" si="25"/>
        <v>6.415999999999948</v>
      </c>
      <c r="I17" s="139">
        <v>511.75000000000017</v>
      </c>
      <c r="J17" s="139">
        <v>1.36</v>
      </c>
      <c r="K17" s="139">
        <f t="shared" si="26"/>
        <v>1.36</v>
      </c>
      <c r="L17" s="139">
        <v>0</v>
      </c>
      <c r="M17" s="139">
        <f t="shared" si="27"/>
        <v>0</v>
      </c>
      <c r="N17" s="139">
        <f t="shared" si="28"/>
        <v>513.11000000000013</v>
      </c>
      <c r="O17" s="139">
        <v>6.33</v>
      </c>
      <c r="P17" s="139">
        <v>0</v>
      </c>
      <c r="Q17" s="139">
        <f t="shared" si="29"/>
        <v>0</v>
      </c>
      <c r="R17" s="139">
        <v>0</v>
      </c>
      <c r="S17" s="139">
        <f t="shared" si="30"/>
        <v>0</v>
      </c>
      <c r="T17" s="139">
        <f t="shared" si="31"/>
        <v>6.33</v>
      </c>
      <c r="U17" s="139">
        <f t="shared" si="32"/>
        <v>525.85600000000011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75.986000000000104</v>
      </c>
      <c r="D18" s="139">
        <v>0.24</v>
      </c>
      <c r="E18" s="139">
        <f t="shared" si="23"/>
        <v>0.24</v>
      </c>
      <c r="F18" s="139">
        <v>0</v>
      </c>
      <c r="G18" s="139">
        <f t="shared" si="24"/>
        <v>0</v>
      </c>
      <c r="H18" s="139">
        <f t="shared" si="25"/>
        <v>76.226000000000099</v>
      </c>
      <c r="I18" s="139">
        <v>485.53699999999998</v>
      </c>
      <c r="J18" s="139">
        <v>0.4</v>
      </c>
      <c r="K18" s="139">
        <f t="shared" si="26"/>
        <v>0.4</v>
      </c>
      <c r="L18" s="139">
        <v>0</v>
      </c>
      <c r="M18" s="139">
        <f t="shared" si="27"/>
        <v>0</v>
      </c>
      <c r="N18" s="139">
        <f t="shared" si="28"/>
        <v>485.93699999999995</v>
      </c>
      <c r="O18" s="139">
        <v>38.869999999999997</v>
      </c>
      <c r="P18" s="139">
        <v>0</v>
      </c>
      <c r="Q18" s="139">
        <f t="shared" si="29"/>
        <v>0</v>
      </c>
      <c r="R18" s="139">
        <v>0</v>
      </c>
      <c r="S18" s="139">
        <f t="shared" si="30"/>
        <v>0</v>
      </c>
      <c r="T18" s="139">
        <f t="shared" si="31"/>
        <v>38.869999999999997</v>
      </c>
      <c r="U18" s="139">
        <f t="shared" si="32"/>
        <v>601.03300000000002</v>
      </c>
    </row>
    <row r="19" spans="1:21" s="111" customFormat="1" ht="38.25" customHeight="1" x14ac:dyDescent="0.4">
      <c r="A19" s="308" t="s">
        <v>89</v>
      </c>
      <c r="B19" s="309"/>
      <c r="C19" s="141">
        <f>SUM(C16:C18)</f>
        <v>1076.2460000000005</v>
      </c>
      <c r="D19" s="141">
        <f t="shared" ref="D19:T19" si="33">SUM(D16:D18)</f>
        <v>0.53</v>
      </c>
      <c r="E19" s="141">
        <f t="shared" si="33"/>
        <v>0.53</v>
      </c>
      <c r="F19" s="141">
        <f t="shared" si="33"/>
        <v>0</v>
      </c>
      <c r="G19" s="141">
        <f t="shared" si="33"/>
        <v>0</v>
      </c>
      <c r="H19" s="141">
        <f t="shared" si="33"/>
        <v>1076.7760000000003</v>
      </c>
      <c r="I19" s="141">
        <f t="shared" si="33"/>
        <v>1296.3330000000001</v>
      </c>
      <c r="J19" s="141">
        <f t="shared" si="33"/>
        <v>1.8900000000000001</v>
      </c>
      <c r="K19" s="141">
        <f t="shared" si="33"/>
        <v>1.8900000000000001</v>
      </c>
      <c r="L19" s="141">
        <f t="shared" si="33"/>
        <v>0</v>
      </c>
      <c r="M19" s="141">
        <f t="shared" si="33"/>
        <v>0</v>
      </c>
      <c r="N19" s="141">
        <f t="shared" si="33"/>
        <v>1298.223</v>
      </c>
      <c r="O19" s="141">
        <f t="shared" si="33"/>
        <v>222.61200000000005</v>
      </c>
      <c r="P19" s="141">
        <f t="shared" si="33"/>
        <v>0</v>
      </c>
      <c r="Q19" s="141">
        <f t="shared" si="33"/>
        <v>0</v>
      </c>
      <c r="R19" s="141">
        <f t="shared" si="33"/>
        <v>0</v>
      </c>
      <c r="S19" s="141">
        <f t="shared" si="33"/>
        <v>0</v>
      </c>
      <c r="T19" s="141">
        <f t="shared" si="33"/>
        <v>222.61200000000005</v>
      </c>
      <c r="U19" s="141">
        <f t="shared" si="22"/>
        <v>2597.6110000000003</v>
      </c>
    </row>
    <row r="20" spans="1:21" ht="38.25" customHeight="1" x14ac:dyDescent="0.35">
      <c r="A20" s="171">
        <v>8</v>
      </c>
      <c r="B20" s="231" t="s">
        <v>91</v>
      </c>
      <c r="C20" s="139">
        <v>630.56999999999994</v>
      </c>
      <c r="D20" s="139">
        <f>0.31+0.5</f>
        <v>0.81</v>
      </c>
      <c r="E20" s="139">
        <f t="shared" ref="E20:E23" si="34">D20</f>
        <v>0.81</v>
      </c>
      <c r="F20" s="139">
        <v>0</v>
      </c>
      <c r="G20" s="139">
        <f t="shared" ref="G20:G23" si="35">F20</f>
        <v>0</v>
      </c>
      <c r="H20" s="139">
        <f t="shared" ref="H20:H23" si="36">C20+D20-F20</f>
        <v>631.37999999999988</v>
      </c>
      <c r="I20" s="139">
        <v>399.18800000000016</v>
      </c>
      <c r="J20" s="139">
        <f>2.11</f>
        <v>2.11</v>
      </c>
      <c r="K20" s="139">
        <f t="shared" ref="K20:K23" si="37">J20</f>
        <v>2.11</v>
      </c>
      <c r="L20" s="139">
        <v>1.04</v>
      </c>
      <c r="M20" s="139">
        <f t="shared" ref="M20:M23" si="38">L20</f>
        <v>1.04</v>
      </c>
      <c r="N20" s="139">
        <f t="shared" ref="N20:N23" si="39">I20+J20-L20</f>
        <v>400.25800000000015</v>
      </c>
      <c r="O20" s="139">
        <v>40.350000000000009</v>
      </c>
      <c r="P20" s="139">
        <v>0</v>
      </c>
      <c r="Q20" s="139">
        <f t="shared" ref="Q20:Q23" si="40">P20</f>
        <v>0</v>
      </c>
      <c r="R20" s="139">
        <v>0</v>
      </c>
      <c r="S20" s="139">
        <f t="shared" ref="S20:S23" si="41">R20</f>
        <v>0</v>
      </c>
      <c r="T20" s="139">
        <f t="shared" ref="T20:T23" si="42">O20+P20-R20</f>
        <v>40.350000000000009</v>
      </c>
      <c r="U20" s="139">
        <f t="shared" ref="U20:U23" si="43">H20+N20+T20</f>
        <v>1071.9879999999998</v>
      </c>
    </row>
    <row r="21" spans="1:21" ht="38.25" customHeight="1" x14ac:dyDescent="0.35">
      <c r="A21" s="171">
        <v>9</v>
      </c>
      <c r="B21" s="231" t="s">
        <v>90</v>
      </c>
      <c r="C21" s="139">
        <v>22.51</v>
      </c>
      <c r="D21" s="139">
        <v>0</v>
      </c>
      <c r="E21" s="139">
        <f t="shared" si="34"/>
        <v>0</v>
      </c>
      <c r="F21" s="139">
        <v>0</v>
      </c>
      <c r="G21" s="139">
        <f t="shared" si="35"/>
        <v>0</v>
      </c>
      <c r="H21" s="139">
        <f t="shared" si="36"/>
        <v>22.51</v>
      </c>
      <c r="I21" s="139">
        <v>398.11699999999996</v>
      </c>
      <c r="J21" s="139">
        <f>0.98+15.74</f>
        <v>16.72</v>
      </c>
      <c r="K21" s="139">
        <f t="shared" si="37"/>
        <v>16.72</v>
      </c>
      <c r="L21" s="139">
        <v>0</v>
      </c>
      <c r="M21" s="139">
        <f t="shared" si="38"/>
        <v>0</v>
      </c>
      <c r="N21" s="139">
        <f t="shared" si="39"/>
        <v>414.83699999999999</v>
      </c>
      <c r="O21" s="139">
        <v>19.369999999999997</v>
      </c>
      <c r="P21" s="139">
        <v>0</v>
      </c>
      <c r="Q21" s="139">
        <f t="shared" si="40"/>
        <v>0</v>
      </c>
      <c r="R21" s="139">
        <v>0</v>
      </c>
      <c r="S21" s="139">
        <f t="shared" si="41"/>
        <v>0</v>
      </c>
      <c r="T21" s="139">
        <f t="shared" si="42"/>
        <v>19.369999999999997</v>
      </c>
      <c r="U21" s="139">
        <f t="shared" si="43"/>
        <v>456.71699999999998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f t="shared" si="34"/>
        <v>0</v>
      </c>
      <c r="F22" s="139">
        <v>0</v>
      </c>
      <c r="G22" s="139">
        <f t="shared" si="35"/>
        <v>0</v>
      </c>
      <c r="H22" s="139">
        <f t="shared" si="36"/>
        <v>22.430000000000021</v>
      </c>
      <c r="I22" s="139">
        <v>688.97</v>
      </c>
      <c r="J22" s="139">
        <f>1.22+0.08</f>
        <v>1.3</v>
      </c>
      <c r="K22" s="139">
        <f t="shared" si="37"/>
        <v>1.3</v>
      </c>
      <c r="L22" s="139">
        <v>0</v>
      </c>
      <c r="M22" s="139">
        <f t="shared" si="38"/>
        <v>0</v>
      </c>
      <c r="N22" s="139">
        <f t="shared" si="39"/>
        <v>690.27</v>
      </c>
      <c r="O22" s="139">
        <v>0.60000000000000098</v>
      </c>
      <c r="P22" s="139">
        <v>0</v>
      </c>
      <c r="Q22" s="139">
        <f t="shared" si="40"/>
        <v>0</v>
      </c>
      <c r="R22" s="139">
        <v>0</v>
      </c>
      <c r="S22" s="139">
        <f t="shared" si="41"/>
        <v>0</v>
      </c>
      <c r="T22" s="139">
        <f t="shared" si="42"/>
        <v>0.60000000000000098</v>
      </c>
      <c r="U22" s="139">
        <f t="shared" si="43"/>
        <v>713.30000000000007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427.24</v>
      </c>
      <c r="D23" s="139">
        <v>3.4</v>
      </c>
      <c r="E23" s="139">
        <f t="shared" si="34"/>
        <v>3.4</v>
      </c>
      <c r="F23" s="139">
        <v>0</v>
      </c>
      <c r="G23" s="139">
        <f t="shared" si="35"/>
        <v>0</v>
      </c>
      <c r="H23" s="139">
        <f t="shared" si="36"/>
        <v>430.64</v>
      </c>
      <c r="I23" s="139">
        <v>101.88500000000001</v>
      </c>
      <c r="J23" s="139">
        <f>4.8+1.55</f>
        <v>6.35</v>
      </c>
      <c r="K23" s="139">
        <f t="shared" si="37"/>
        <v>6.35</v>
      </c>
      <c r="L23" s="139">
        <v>0</v>
      </c>
      <c r="M23" s="139">
        <f t="shared" si="38"/>
        <v>0</v>
      </c>
      <c r="N23" s="139">
        <f t="shared" si="39"/>
        <v>108.235</v>
      </c>
      <c r="O23" s="139">
        <v>22.5</v>
      </c>
      <c r="P23" s="139">
        <v>0</v>
      </c>
      <c r="Q23" s="139">
        <f t="shared" si="40"/>
        <v>0</v>
      </c>
      <c r="R23" s="139">
        <v>0</v>
      </c>
      <c r="S23" s="139">
        <f t="shared" si="41"/>
        <v>0</v>
      </c>
      <c r="T23" s="139">
        <f t="shared" si="42"/>
        <v>22.5</v>
      </c>
      <c r="U23" s="139">
        <f t="shared" si="43"/>
        <v>561.375</v>
      </c>
    </row>
    <row r="24" spans="1:21" s="111" customFormat="1" ht="38.25" customHeight="1" x14ac:dyDescent="0.4">
      <c r="A24" s="313" t="s">
        <v>94</v>
      </c>
      <c r="B24" s="313"/>
      <c r="C24" s="141">
        <f>SUM(C20:C23)</f>
        <v>1102.75</v>
      </c>
      <c r="D24" s="141">
        <f t="shared" ref="D24:T24" si="44">SUM(D20:D23)</f>
        <v>4.21</v>
      </c>
      <c r="E24" s="141">
        <f t="shared" si="44"/>
        <v>4.21</v>
      </c>
      <c r="F24" s="141">
        <f t="shared" si="44"/>
        <v>0</v>
      </c>
      <c r="G24" s="141">
        <f t="shared" si="44"/>
        <v>0</v>
      </c>
      <c r="H24" s="141">
        <f t="shared" si="44"/>
        <v>1106.96</v>
      </c>
      <c r="I24" s="141">
        <f t="shared" si="44"/>
        <v>1588.16</v>
      </c>
      <c r="J24" s="141">
        <f t="shared" si="44"/>
        <v>26.479999999999997</v>
      </c>
      <c r="K24" s="141">
        <f t="shared" si="44"/>
        <v>26.479999999999997</v>
      </c>
      <c r="L24" s="141">
        <f t="shared" si="44"/>
        <v>1.04</v>
      </c>
      <c r="M24" s="141">
        <f t="shared" si="44"/>
        <v>1.04</v>
      </c>
      <c r="N24" s="141">
        <f t="shared" si="44"/>
        <v>1613.6000000000001</v>
      </c>
      <c r="O24" s="141">
        <f t="shared" si="44"/>
        <v>82.820000000000007</v>
      </c>
      <c r="P24" s="141">
        <f t="shared" si="44"/>
        <v>0</v>
      </c>
      <c r="Q24" s="141">
        <f t="shared" si="44"/>
        <v>0</v>
      </c>
      <c r="R24" s="141">
        <f t="shared" si="44"/>
        <v>0</v>
      </c>
      <c r="S24" s="141">
        <f t="shared" si="44"/>
        <v>0</v>
      </c>
      <c r="T24" s="141">
        <f t="shared" si="44"/>
        <v>82.820000000000007</v>
      </c>
      <c r="U24" s="141">
        <f t="shared" si="22"/>
        <v>2803.38</v>
      </c>
    </row>
    <row r="25" spans="1:21" s="145" customFormat="1" ht="38.25" customHeight="1" x14ac:dyDescent="0.4">
      <c r="A25" s="308" t="s">
        <v>95</v>
      </c>
      <c r="B25" s="309"/>
      <c r="C25" s="141">
        <f>C24+C19+C15+C11</f>
        <v>4627.5659999999998</v>
      </c>
      <c r="D25" s="141">
        <f t="shared" ref="D25:T25" si="45">D24+D19+D15+D11</f>
        <v>4.74</v>
      </c>
      <c r="E25" s="141">
        <f t="shared" si="45"/>
        <v>4.74</v>
      </c>
      <c r="F25" s="141">
        <f t="shared" si="45"/>
        <v>0</v>
      </c>
      <c r="G25" s="141">
        <f t="shared" si="45"/>
        <v>0</v>
      </c>
      <c r="H25" s="141">
        <f t="shared" si="45"/>
        <v>4632.3059999999996</v>
      </c>
      <c r="I25" s="141">
        <f t="shared" si="45"/>
        <v>7022.1180000000004</v>
      </c>
      <c r="J25" s="141">
        <f t="shared" si="45"/>
        <v>38.924999999999997</v>
      </c>
      <c r="K25" s="141">
        <f t="shared" si="45"/>
        <v>38.924999999999997</v>
      </c>
      <c r="L25" s="141">
        <f t="shared" si="45"/>
        <v>1.04</v>
      </c>
      <c r="M25" s="141">
        <f t="shared" si="45"/>
        <v>1.04</v>
      </c>
      <c r="N25" s="141">
        <f t="shared" si="45"/>
        <v>7060.0030000000006</v>
      </c>
      <c r="O25" s="141">
        <f t="shared" si="45"/>
        <v>592.67800000000011</v>
      </c>
      <c r="P25" s="141">
        <f t="shared" si="45"/>
        <v>0</v>
      </c>
      <c r="Q25" s="141">
        <f t="shared" si="45"/>
        <v>0</v>
      </c>
      <c r="R25" s="141">
        <f t="shared" si="45"/>
        <v>1.01</v>
      </c>
      <c r="S25" s="141">
        <f t="shared" si="45"/>
        <v>1.01</v>
      </c>
      <c r="T25" s="141">
        <f t="shared" si="45"/>
        <v>591.66800000000012</v>
      </c>
      <c r="U25" s="141">
        <f t="shared" si="22"/>
        <v>12283.976999999999</v>
      </c>
    </row>
    <row r="26" spans="1:21" ht="38.25" customHeight="1" x14ac:dyDescent="0.35">
      <c r="A26" s="171">
        <v>15</v>
      </c>
      <c r="B26" s="231" t="s">
        <v>96</v>
      </c>
      <c r="C26" s="139">
        <v>1552.9799999999998</v>
      </c>
      <c r="D26" s="139">
        <v>2.0299999999999998</v>
      </c>
      <c r="E26" s="139">
        <f t="shared" ref="E26:E27" si="46">D26</f>
        <v>2.0299999999999998</v>
      </c>
      <c r="F26" s="139">
        <v>0</v>
      </c>
      <c r="G26" s="139">
        <f t="shared" ref="G26:G27" si="47">F26</f>
        <v>0</v>
      </c>
      <c r="H26" s="139">
        <f t="shared" ref="H26:H27" si="48">C26+D26-F26</f>
        <v>1555.0099999999998</v>
      </c>
      <c r="I26" s="139">
        <v>67.33</v>
      </c>
      <c r="J26" s="139">
        <v>0</v>
      </c>
      <c r="K26" s="139">
        <f t="shared" ref="K26:K27" si="49">J26</f>
        <v>0</v>
      </c>
      <c r="L26" s="139">
        <v>0</v>
      </c>
      <c r="M26" s="139">
        <f t="shared" ref="M26:M27" si="50">L26</f>
        <v>0</v>
      </c>
      <c r="N26" s="139">
        <f t="shared" ref="N26:N27" si="51">I26+J26-L26</f>
        <v>67.33</v>
      </c>
      <c r="O26" s="139">
        <v>16.11</v>
      </c>
      <c r="P26" s="139">
        <v>0</v>
      </c>
      <c r="Q26" s="139">
        <f t="shared" ref="Q26:Q27" si="52">P26</f>
        <v>0</v>
      </c>
      <c r="R26" s="139">
        <v>0</v>
      </c>
      <c r="S26" s="139">
        <f t="shared" ref="S26:S27" si="53">R26</f>
        <v>0</v>
      </c>
      <c r="T26" s="139">
        <f t="shared" ref="T26:T27" si="54">O26+P26-R26</f>
        <v>16.11</v>
      </c>
      <c r="U26" s="139">
        <f t="shared" ref="U26:U27" si="55">H26+N26+T26</f>
        <v>1638.4499999999996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5576.7050000000017</v>
      </c>
      <c r="D27" s="139">
        <v>10.85</v>
      </c>
      <c r="E27" s="139">
        <f t="shared" si="46"/>
        <v>10.85</v>
      </c>
      <c r="F27" s="139">
        <v>0</v>
      </c>
      <c r="G27" s="139">
        <f t="shared" si="47"/>
        <v>0</v>
      </c>
      <c r="H27" s="139">
        <f t="shared" si="48"/>
        <v>5587.5550000000021</v>
      </c>
      <c r="I27" s="139">
        <v>594.18799999999999</v>
      </c>
      <c r="J27" s="139">
        <v>2.14</v>
      </c>
      <c r="K27" s="139">
        <f t="shared" si="49"/>
        <v>2.14</v>
      </c>
      <c r="L27" s="139">
        <v>0</v>
      </c>
      <c r="M27" s="139">
        <f t="shared" si="50"/>
        <v>0</v>
      </c>
      <c r="N27" s="139">
        <f t="shared" si="51"/>
        <v>596.32799999999997</v>
      </c>
      <c r="O27" s="139">
        <v>33.49</v>
      </c>
      <c r="P27" s="139">
        <v>0</v>
      </c>
      <c r="Q27" s="139">
        <f t="shared" si="52"/>
        <v>0</v>
      </c>
      <c r="R27" s="139">
        <v>0</v>
      </c>
      <c r="S27" s="139">
        <f t="shared" si="53"/>
        <v>0</v>
      </c>
      <c r="T27" s="139">
        <f t="shared" si="54"/>
        <v>33.49</v>
      </c>
      <c r="U27" s="139">
        <f t="shared" si="55"/>
        <v>6217.3730000000014</v>
      </c>
    </row>
    <row r="28" spans="1:21" s="111" customFormat="1" ht="38.25" customHeight="1" x14ac:dyDescent="0.4">
      <c r="A28" s="313" t="s">
        <v>98</v>
      </c>
      <c r="B28" s="313"/>
      <c r="C28" s="141">
        <f>SUM(C26:C27)</f>
        <v>7129.6850000000013</v>
      </c>
      <c r="D28" s="141">
        <f t="shared" ref="D28:T28" si="56">SUM(D26:D27)</f>
        <v>12.879999999999999</v>
      </c>
      <c r="E28" s="141">
        <f t="shared" si="56"/>
        <v>12.879999999999999</v>
      </c>
      <c r="F28" s="141">
        <f t="shared" si="56"/>
        <v>0</v>
      </c>
      <c r="G28" s="141">
        <f t="shared" si="56"/>
        <v>0</v>
      </c>
      <c r="H28" s="141">
        <f t="shared" si="56"/>
        <v>7142.5650000000023</v>
      </c>
      <c r="I28" s="141">
        <f t="shared" si="56"/>
        <v>661.51800000000003</v>
      </c>
      <c r="J28" s="141">
        <f t="shared" si="56"/>
        <v>2.14</v>
      </c>
      <c r="K28" s="141">
        <f t="shared" si="56"/>
        <v>2.14</v>
      </c>
      <c r="L28" s="141">
        <f t="shared" si="56"/>
        <v>0</v>
      </c>
      <c r="M28" s="141">
        <f t="shared" si="56"/>
        <v>0</v>
      </c>
      <c r="N28" s="141">
        <f t="shared" si="56"/>
        <v>663.65800000000002</v>
      </c>
      <c r="O28" s="141">
        <f t="shared" si="56"/>
        <v>49.6</v>
      </c>
      <c r="P28" s="141">
        <f t="shared" si="56"/>
        <v>0</v>
      </c>
      <c r="Q28" s="141">
        <f t="shared" si="56"/>
        <v>0</v>
      </c>
      <c r="R28" s="141">
        <f t="shared" si="56"/>
        <v>0</v>
      </c>
      <c r="S28" s="141">
        <f t="shared" si="56"/>
        <v>0</v>
      </c>
      <c r="T28" s="141">
        <f t="shared" si="56"/>
        <v>49.6</v>
      </c>
      <c r="U28" s="141">
        <f t="shared" si="22"/>
        <v>7855.8230000000021</v>
      </c>
    </row>
    <row r="29" spans="1:21" ht="38.25" customHeight="1" x14ac:dyDescent="0.35">
      <c r="A29" s="171">
        <v>17</v>
      </c>
      <c r="B29" s="231" t="s">
        <v>99</v>
      </c>
      <c r="C29" s="139">
        <v>4454.4680000000017</v>
      </c>
      <c r="D29" s="139">
        <v>2.95</v>
      </c>
      <c r="E29" s="139">
        <f t="shared" ref="E29:E32" si="57">D29</f>
        <v>2.95</v>
      </c>
      <c r="F29" s="139">
        <v>0</v>
      </c>
      <c r="G29" s="139">
        <f t="shared" ref="G29:G32" si="58">F29</f>
        <v>0</v>
      </c>
      <c r="H29" s="139">
        <f t="shared" ref="H29:H32" si="59">C29+D29-F29</f>
        <v>4457.4180000000015</v>
      </c>
      <c r="I29" s="139">
        <v>151.81</v>
      </c>
      <c r="J29" s="139">
        <v>0</v>
      </c>
      <c r="K29" s="139">
        <f t="shared" ref="K29:K32" si="60">J29</f>
        <v>0</v>
      </c>
      <c r="L29" s="139">
        <v>0</v>
      </c>
      <c r="M29" s="139">
        <f t="shared" ref="M29:M32" si="61">L29</f>
        <v>0</v>
      </c>
      <c r="N29" s="139">
        <f t="shared" ref="N29:N32" si="62">I29+J29-L29</f>
        <v>151.81</v>
      </c>
      <c r="O29" s="139">
        <v>57.720000000000006</v>
      </c>
      <c r="P29" s="139">
        <v>0</v>
      </c>
      <c r="Q29" s="139">
        <f t="shared" ref="Q29:Q32" si="63">P29</f>
        <v>0</v>
      </c>
      <c r="R29" s="139">
        <v>23.2</v>
      </c>
      <c r="S29" s="139">
        <f t="shared" ref="S29:S32" si="64">R29</f>
        <v>23.2</v>
      </c>
      <c r="T29" s="139">
        <f t="shared" ref="T29:T32" si="65">O29+P29-R29</f>
        <v>34.52000000000001</v>
      </c>
      <c r="U29" s="139">
        <f t="shared" ref="U29:U32" si="66">H29+N29+T29</f>
        <v>4643.7480000000023</v>
      </c>
    </row>
    <row r="30" spans="1:21" ht="38.25" customHeight="1" x14ac:dyDescent="0.35">
      <c r="A30" s="171">
        <v>18</v>
      </c>
      <c r="B30" s="231" t="s">
        <v>100</v>
      </c>
      <c r="C30" s="139">
        <v>3575.37</v>
      </c>
      <c r="D30" s="139">
        <v>19.420000000000002</v>
      </c>
      <c r="E30" s="139">
        <f t="shared" si="57"/>
        <v>19.420000000000002</v>
      </c>
      <c r="F30" s="139">
        <v>0</v>
      </c>
      <c r="G30" s="139">
        <f t="shared" si="58"/>
        <v>0</v>
      </c>
      <c r="H30" s="139">
        <f t="shared" si="59"/>
        <v>3594.79</v>
      </c>
      <c r="I30" s="139">
        <v>41.697000000000003</v>
      </c>
      <c r="J30" s="139">
        <v>0</v>
      </c>
      <c r="K30" s="139">
        <f t="shared" si="60"/>
        <v>0</v>
      </c>
      <c r="L30" s="139">
        <v>0</v>
      </c>
      <c r="M30" s="139">
        <f t="shared" si="61"/>
        <v>0</v>
      </c>
      <c r="N30" s="139">
        <f t="shared" si="62"/>
        <v>41.697000000000003</v>
      </c>
      <c r="O30" s="139">
        <v>23.25</v>
      </c>
      <c r="P30" s="139">
        <v>0</v>
      </c>
      <c r="Q30" s="139">
        <f t="shared" si="63"/>
        <v>0</v>
      </c>
      <c r="R30" s="139">
        <v>0</v>
      </c>
      <c r="S30" s="139">
        <f t="shared" si="64"/>
        <v>0</v>
      </c>
      <c r="T30" s="139">
        <f t="shared" si="65"/>
        <v>23.25</v>
      </c>
      <c r="U30" s="139">
        <f t="shared" si="66"/>
        <v>3659.7370000000001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4589.9989999999998</v>
      </c>
      <c r="D31" s="139">
        <f>2.81</f>
        <v>2.81</v>
      </c>
      <c r="E31" s="139">
        <f t="shared" si="57"/>
        <v>2.81</v>
      </c>
      <c r="F31" s="139">
        <v>0</v>
      </c>
      <c r="G31" s="139">
        <f t="shared" si="58"/>
        <v>0</v>
      </c>
      <c r="H31" s="139">
        <f t="shared" si="59"/>
        <v>4592.8090000000002</v>
      </c>
      <c r="I31" s="139">
        <v>86.710000000000022</v>
      </c>
      <c r="J31" s="139">
        <v>0</v>
      </c>
      <c r="K31" s="139">
        <f t="shared" si="60"/>
        <v>0</v>
      </c>
      <c r="L31" s="139">
        <v>0</v>
      </c>
      <c r="M31" s="139">
        <f t="shared" si="61"/>
        <v>0</v>
      </c>
      <c r="N31" s="139">
        <f t="shared" si="62"/>
        <v>86.710000000000022</v>
      </c>
      <c r="O31" s="139">
        <v>14.850000000000001</v>
      </c>
      <c r="P31" s="139">
        <v>0</v>
      </c>
      <c r="Q31" s="139">
        <f t="shared" si="63"/>
        <v>0</v>
      </c>
      <c r="R31" s="139">
        <v>0</v>
      </c>
      <c r="S31" s="139">
        <f t="shared" si="64"/>
        <v>0</v>
      </c>
      <c r="T31" s="139">
        <f t="shared" si="65"/>
        <v>14.850000000000001</v>
      </c>
      <c r="U31" s="139">
        <f t="shared" si="66"/>
        <v>4694.3690000000006</v>
      </c>
    </row>
    <row r="32" spans="1:21" ht="38.25" customHeight="1" x14ac:dyDescent="0.35">
      <c r="A32" s="171">
        <v>20</v>
      </c>
      <c r="B32" s="231" t="s">
        <v>102</v>
      </c>
      <c r="C32" s="139">
        <v>2342.8557999999994</v>
      </c>
      <c r="D32" s="139">
        <v>3.24</v>
      </c>
      <c r="E32" s="139">
        <f t="shared" si="57"/>
        <v>3.24</v>
      </c>
      <c r="F32" s="139">
        <v>0</v>
      </c>
      <c r="G32" s="139">
        <f t="shared" si="58"/>
        <v>0</v>
      </c>
      <c r="H32" s="139">
        <f t="shared" si="59"/>
        <v>2346.0957999999991</v>
      </c>
      <c r="I32" s="139">
        <v>391.83599999999996</v>
      </c>
      <c r="J32" s="139">
        <v>0</v>
      </c>
      <c r="K32" s="139">
        <f t="shared" si="60"/>
        <v>0</v>
      </c>
      <c r="L32" s="139">
        <v>0</v>
      </c>
      <c r="M32" s="139">
        <f t="shared" si="61"/>
        <v>0</v>
      </c>
      <c r="N32" s="139">
        <f t="shared" si="62"/>
        <v>391.83599999999996</v>
      </c>
      <c r="O32" s="139">
        <v>67.551999999999992</v>
      </c>
      <c r="P32" s="139">
        <v>0</v>
      </c>
      <c r="Q32" s="139">
        <f t="shared" si="63"/>
        <v>0</v>
      </c>
      <c r="R32" s="139">
        <v>0</v>
      </c>
      <c r="S32" s="139">
        <f t="shared" si="64"/>
        <v>0</v>
      </c>
      <c r="T32" s="139">
        <f t="shared" si="65"/>
        <v>67.551999999999992</v>
      </c>
      <c r="U32" s="139">
        <f t="shared" si="66"/>
        <v>2805.4837999999991</v>
      </c>
    </row>
    <row r="33" spans="1:21" s="111" customFormat="1" ht="38.25" customHeight="1" x14ac:dyDescent="0.4">
      <c r="A33" s="313" t="s">
        <v>99</v>
      </c>
      <c r="B33" s="313"/>
      <c r="C33" s="141">
        <f>SUM(C29:C32)</f>
        <v>14962.692800000001</v>
      </c>
      <c r="D33" s="141">
        <f t="shared" ref="D33:T33" si="67">SUM(D29:D32)</f>
        <v>28.42</v>
      </c>
      <c r="E33" s="141">
        <f t="shared" si="67"/>
        <v>28.42</v>
      </c>
      <c r="F33" s="141">
        <f t="shared" si="67"/>
        <v>0</v>
      </c>
      <c r="G33" s="141">
        <f t="shared" si="67"/>
        <v>0</v>
      </c>
      <c r="H33" s="141">
        <f t="shared" si="67"/>
        <v>14991.112800000001</v>
      </c>
      <c r="I33" s="141">
        <f t="shared" si="67"/>
        <v>672.053</v>
      </c>
      <c r="J33" s="141">
        <f t="shared" si="67"/>
        <v>0</v>
      </c>
      <c r="K33" s="141">
        <f t="shared" si="67"/>
        <v>0</v>
      </c>
      <c r="L33" s="141">
        <f t="shared" si="67"/>
        <v>0</v>
      </c>
      <c r="M33" s="141">
        <f t="shared" si="67"/>
        <v>0</v>
      </c>
      <c r="N33" s="141">
        <f t="shared" si="67"/>
        <v>672.053</v>
      </c>
      <c r="O33" s="141">
        <f t="shared" si="67"/>
        <v>163.37199999999999</v>
      </c>
      <c r="P33" s="141">
        <f t="shared" si="67"/>
        <v>0</v>
      </c>
      <c r="Q33" s="141">
        <f t="shared" si="67"/>
        <v>0</v>
      </c>
      <c r="R33" s="141">
        <f t="shared" si="67"/>
        <v>23.2</v>
      </c>
      <c r="S33" s="141">
        <f t="shared" si="67"/>
        <v>23.2</v>
      </c>
      <c r="T33" s="141">
        <f t="shared" si="67"/>
        <v>140.172</v>
      </c>
      <c r="U33" s="141">
        <f t="shared" si="22"/>
        <v>15803.337800000001</v>
      </c>
    </row>
    <row r="34" spans="1:21" ht="38.25" customHeight="1" x14ac:dyDescent="0.35">
      <c r="A34" s="171">
        <v>21</v>
      </c>
      <c r="B34" s="231" t="s">
        <v>103</v>
      </c>
      <c r="C34" s="139">
        <v>4439.1000000000004</v>
      </c>
      <c r="D34" s="139">
        <v>11.45</v>
      </c>
      <c r="E34" s="139">
        <f t="shared" ref="E34:E37" si="68">D34</f>
        <v>11.45</v>
      </c>
      <c r="F34" s="139">
        <v>0</v>
      </c>
      <c r="G34" s="139">
        <f t="shared" ref="G34:G37" si="69">F34</f>
        <v>0</v>
      </c>
      <c r="H34" s="139">
        <f t="shared" ref="H34:H37" si="70">C34+D34-F34</f>
        <v>4450.55</v>
      </c>
      <c r="I34" s="139">
        <v>0</v>
      </c>
      <c r="J34" s="139">
        <v>0</v>
      </c>
      <c r="K34" s="139">
        <f t="shared" ref="K34:K37" si="71">J34</f>
        <v>0</v>
      </c>
      <c r="L34" s="139">
        <v>0</v>
      </c>
      <c r="M34" s="139">
        <f t="shared" ref="M34:M37" si="72">L34</f>
        <v>0</v>
      </c>
      <c r="N34" s="139">
        <f t="shared" ref="N34:N37" si="73">I34+J34-L34</f>
        <v>0</v>
      </c>
      <c r="O34" s="139">
        <v>0</v>
      </c>
      <c r="P34" s="139">
        <v>0</v>
      </c>
      <c r="Q34" s="139">
        <f t="shared" ref="Q34:Q37" si="74">P34</f>
        <v>0</v>
      </c>
      <c r="R34" s="139">
        <v>0</v>
      </c>
      <c r="S34" s="139">
        <f t="shared" ref="S34:S37" si="75">R34</f>
        <v>0</v>
      </c>
      <c r="T34" s="139">
        <f t="shared" ref="T34:T37" si="76">O34+P34-R34</f>
        <v>0</v>
      </c>
      <c r="U34" s="139">
        <f t="shared" ref="U34:U37" si="77">H34+N34+T34</f>
        <v>4450.55</v>
      </c>
    </row>
    <row r="35" spans="1:21" ht="38.25" customHeight="1" x14ac:dyDescent="0.35">
      <c r="A35" s="171">
        <v>22</v>
      </c>
      <c r="B35" s="231" t="s">
        <v>104</v>
      </c>
      <c r="C35" s="139">
        <v>6209.5799999999972</v>
      </c>
      <c r="D35" s="139">
        <v>58.71</v>
      </c>
      <c r="E35" s="139">
        <f t="shared" si="68"/>
        <v>58.71</v>
      </c>
      <c r="F35" s="139">
        <v>0</v>
      </c>
      <c r="G35" s="139">
        <f t="shared" si="69"/>
        <v>0</v>
      </c>
      <c r="H35" s="139">
        <f t="shared" si="70"/>
        <v>6268.2899999999972</v>
      </c>
      <c r="I35" s="139">
        <v>6.92</v>
      </c>
      <c r="J35" s="139">
        <v>5.69</v>
      </c>
      <c r="K35" s="139">
        <f t="shared" si="71"/>
        <v>5.69</v>
      </c>
      <c r="L35" s="139">
        <v>0</v>
      </c>
      <c r="M35" s="139">
        <f t="shared" si="72"/>
        <v>0</v>
      </c>
      <c r="N35" s="139">
        <f t="shared" si="73"/>
        <v>12.61</v>
      </c>
      <c r="O35" s="139">
        <v>58.420000000000009</v>
      </c>
      <c r="P35" s="139">
        <v>16.190000000000001</v>
      </c>
      <c r="Q35" s="139">
        <f t="shared" si="74"/>
        <v>16.190000000000001</v>
      </c>
      <c r="R35" s="139">
        <v>0</v>
      </c>
      <c r="S35" s="139">
        <f t="shared" si="75"/>
        <v>0</v>
      </c>
      <c r="T35" s="139">
        <f t="shared" si="76"/>
        <v>74.610000000000014</v>
      </c>
      <c r="U35" s="139">
        <f t="shared" si="77"/>
        <v>6355.5099999999966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3451.1</v>
      </c>
      <c r="D36" s="139">
        <v>18.96</v>
      </c>
      <c r="E36" s="139">
        <f t="shared" si="68"/>
        <v>18.96</v>
      </c>
      <c r="F36" s="139">
        <v>0</v>
      </c>
      <c r="G36" s="139">
        <f t="shared" si="69"/>
        <v>0</v>
      </c>
      <c r="H36" s="139">
        <f t="shared" si="70"/>
        <v>3470.06</v>
      </c>
      <c r="I36" s="139">
        <v>29.680000000000039</v>
      </c>
      <c r="J36" s="139">
        <v>0</v>
      </c>
      <c r="K36" s="139">
        <f t="shared" si="71"/>
        <v>0</v>
      </c>
      <c r="L36" s="139">
        <v>4.63</v>
      </c>
      <c r="M36" s="139">
        <f t="shared" si="72"/>
        <v>4.63</v>
      </c>
      <c r="N36" s="139">
        <f t="shared" si="73"/>
        <v>25.05000000000004</v>
      </c>
      <c r="O36" s="139">
        <v>17.09</v>
      </c>
      <c r="P36" s="139">
        <f>3.46+15.83</f>
        <v>19.29</v>
      </c>
      <c r="Q36" s="139">
        <f t="shared" si="74"/>
        <v>19.29</v>
      </c>
      <c r="R36" s="139">
        <v>0</v>
      </c>
      <c r="S36" s="139">
        <f t="shared" si="75"/>
        <v>0</v>
      </c>
      <c r="T36" s="139">
        <f t="shared" si="76"/>
        <v>36.379999999999995</v>
      </c>
      <c r="U36" s="139">
        <f t="shared" si="77"/>
        <v>3531.4900000000002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4788.1199999999972</v>
      </c>
      <c r="D37" s="139">
        <v>5.51</v>
      </c>
      <c r="E37" s="139">
        <f t="shared" si="68"/>
        <v>5.51</v>
      </c>
      <c r="F37" s="139">
        <v>0</v>
      </c>
      <c r="G37" s="139">
        <f t="shared" si="69"/>
        <v>0</v>
      </c>
      <c r="H37" s="139">
        <f t="shared" si="70"/>
        <v>4793.6299999999974</v>
      </c>
      <c r="I37" s="139">
        <v>13.490000000000002</v>
      </c>
      <c r="J37" s="139">
        <v>0</v>
      </c>
      <c r="K37" s="139">
        <f t="shared" si="71"/>
        <v>0</v>
      </c>
      <c r="L37" s="139">
        <v>1.06</v>
      </c>
      <c r="M37" s="139">
        <f t="shared" si="72"/>
        <v>1.06</v>
      </c>
      <c r="N37" s="139">
        <f t="shared" si="73"/>
        <v>12.430000000000001</v>
      </c>
      <c r="O37" s="139">
        <v>6.52</v>
      </c>
      <c r="P37" s="139">
        <v>0</v>
      </c>
      <c r="Q37" s="139">
        <f t="shared" si="74"/>
        <v>0</v>
      </c>
      <c r="R37" s="139">
        <v>3.46</v>
      </c>
      <c r="S37" s="139">
        <f t="shared" si="75"/>
        <v>3.46</v>
      </c>
      <c r="T37" s="139">
        <f t="shared" si="76"/>
        <v>3.0599999999999996</v>
      </c>
      <c r="U37" s="139">
        <f t="shared" si="77"/>
        <v>4809.1199999999981</v>
      </c>
    </row>
    <row r="38" spans="1:21" s="111" customFormat="1" ht="38.25" customHeight="1" x14ac:dyDescent="0.4">
      <c r="A38" s="313" t="s">
        <v>107</v>
      </c>
      <c r="B38" s="313"/>
      <c r="C38" s="141">
        <f>SUM(C34:C37)</f>
        <v>18887.899999999994</v>
      </c>
      <c r="D38" s="141">
        <f t="shared" ref="D38:T38" si="78">SUM(D34:D37)</f>
        <v>94.63000000000001</v>
      </c>
      <c r="E38" s="141">
        <f t="shared" si="78"/>
        <v>94.63000000000001</v>
      </c>
      <c r="F38" s="141">
        <f t="shared" si="78"/>
        <v>0</v>
      </c>
      <c r="G38" s="141">
        <f t="shared" si="78"/>
        <v>0</v>
      </c>
      <c r="H38" s="141">
        <f t="shared" si="78"/>
        <v>18982.529999999992</v>
      </c>
      <c r="I38" s="141">
        <f t="shared" si="78"/>
        <v>50.090000000000039</v>
      </c>
      <c r="J38" s="141">
        <f t="shared" si="78"/>
        <v>5.69</v>
      </c>
      <c r="K38" s="141">
        <f t="shared" si="78"/>
        <v>5.69</v>
      </c>
      <c r="L38" s="141">
        <f t="shared" si="78"/>
        <v>5.6899999999999995</v>
      </c>
      <c r="M38" s="141">
        <f t="shared" si="78"/>
        <v>5.6899999999999995</v>
      </c>
      <c r="N38" s="141">
        <f t="shared" si="78"/>
        <v>50.090000000000039</v>
      </c>
      <c r="O38" s="141">
        <f t="shared" si="78"/>
        <v>82.03</v>
      </c>
      <c r="P38" s="141">
        <f t="shared" si="78"/>
        <v>35.480000000000004</v>
      </c>
      <c r="Q38" s="141">
        <f t="shared" si="78"/>
        <v>35.480000000000004</v>
      </c>
      <c r="R38" s="141">
        <f t="shared" si="78"/>
        <v>3.46</v>
      </c>
      <c r="S38" s="141">
        <f t="shared" si="78"/>
        <v>3.46</v>
      </c>
      <c r="T38" s="141">
        <f t="shared" si="78"/>
        <v>114.05000000000001</v>
      </c>
      <c r="U38" s="141">
        <f t="shared" si="22"/>
        <v>19146.669999999991</v>
      </c>
    </row>
    <row r="39" spans="1:21" s="145" customFormat="1" ht="38.25" customHeight="1" x14ac:dyDescent="0.4">
      <c r="A39" s="313" t="s">
        <v>108</v>
      </c>
      <c r="B39" s="313"/>
      <c r="C39" s="141">
        <f>C38+C33+C28</f>
        <v>40980.277799999996</v>
      </c>
      <c r="D39" s="141">
        <f t="shared" ref="D39:T39" si="79">D38+D33+D28</f>
        <v>135.93</v>
      </c>
      <c r="E39" s="141">
        <f t="shared" si="79"/>
        <v>135.93</v>
      </c>
      <c r="F39" s="141">
        <f t="shared" si="79"/>
        <v>0</v>
      </c>
      <c r="G39" s="141">
        <f t="shared" si="79"/>
        <v>0</v>
      </c>
      <c r="H39" s="141">
        <f t="shared" si="79"/>
        <v>41116.207799999996</v>
      </c>
      <c r="I39" s="141">
        <f t="shared" si="79"/>
        <v>1383.6610000000001</v>
      </c>
      <c r="J39" s="141">
        <f t="shared" si="79"/>
        <v>7.83</v>
      </c>
      <c r="K39" s="141">
        <f t="shared" si="79"/>
        <v>7.83</v>
      </c>
      <c r="L39" s="141">
        <f t="shared" si="79"/>
        <v>5.6899999999999995</v>
      </c>
      <c r="M39" s="141">
        <f t="shared" si="79"/>
        <v>5.6899999999999995</v>
      </c>
      <c r="N39" s="141">
        <f t="shared" si="79"/>
        <v>1385.8009999999999</v>
      </c>
      <c r="O39" s="141">
        <f t="shared" si="79"/>
        <v>295.00200000000001</v>
      </c>
      <c r="P39" s="141">
        <f t="shared" si="79"/>
        <v>35.480000000000004</v>
      </c>
      <c r="Q39" s="141">
        <f t="shared" si="79"/>
        <v>35.480000000000004</v>
      </c>
      <c r="R39" s="141">
        <f t="shared" si="79"/>
        <v>26.66</v>
      </c>
      <c r="S39" s="141">
        <f t="shared" si="79"/>
        <v>26.66</v>
      </c>
      <c r="T39" s="141">
        <f t="shared" si="79"/>
        <v>303.822</v>
      </c>
      <c r="U39" s="141">
        <f t="shared" si="22"/>
        <v>42805.830799999996</v>
      </c>
    </row>
    <row r="40" spans="1:21" ht="38.25" customHeight="1" x14ac:dyDescent="0.35">
      <c r="A40" s="171">
        <v>25</v>
      </c>
      <c r="B40" s="231" t="s">
        <v>109</v>
      </c>
      <c r="C40" s="139">
        <v>11390.444</v>
      </c>
      <c r="D40" s="139">
        <v>108.76</v>
      </c>
      <c r="E40" s="139">
        <f t="shared" ref="E40:E43" si="80">D40</f>
        <v>108.76</v>
      </c>
      <c r="F40" s="139">
        <v>0</v>
      </c>
      <c r="G40" s="139">
        <f t="shared" ref="G40:G43" si="81">F40</f>
        <v>0</v>
      </c>
      <c r="H40" s="139">
        <f t="shared" ref="H40:H43" si="82">C40+D40-F40</f>
        <v>11499.204</v>
      </c>
      <c r="I40" s="139">
        <v>0</v>
      </c>
      <c r="J40" s="139">
        <v>0</v>
      </c>
      <c r="K40" s="139">
        <f t="shared" ref="K40:K43" si="83">J40</f>
        <v>0</v>
      </c>
      <c r="L40" s="139">
        <v>0</v>
      </c>
      <c r="M40" s="139">
        <f t="shared" ref="M40:M43" si="84">L40</f>
        <v>0</v>
      </c>
      <c r="N40" s="139">
        <f t="shared" ref="N40:N43" si="85">I40+J40-L40</f>
        <v>0</v>
      </c>
      <c r="O40" s="139">
        <v>0</v>
      </c>
      <c r="P40" s="139">
        <v>0</v>
      </c>
      <c r="Q40" s="139">
        <f t="shared" ref="Q40:Q43" si="86">P40</f>
        <v>0</v>
      </c>
      <c r="R40" s="139">
        <v>0</v>
      </c>
      <c r="S40" s="139">
        <f t="shared" ref="S40:S43" si="87">R40</f>
        <v>0</v>
      </c>
      <c r="T40" s="139">
        <f t="shared" ref="T40:T43" si="88">O40+P40-R40</f>
        <v>0</v>
      </c>
      <c r="U40" s="139">
        <f t="shared" ref="U40:U43" si="89">H40+N40+T40</f>
        <v>11499.204</v>
      </c>
    </row>
    <row r="41" spans="1:21" ht="38.25" customHeight="1" x14ac:dyDescent="0.35">
      <c r="A41" s="171">
        <v>26</v>
      </c>
      <c r="B41" s="231" t="s">
        <v>110</v>
      </c>
      <c r="C41" s="139">
        <v>7498.0369999999948</v>
      </c>
      <c r="D41" s="139">
        <v>55.57</v>
      </c>
      <c r="E41" s="139">
        <f t="shared" si="80"/>
        <v>55.57</v>
      </c>
      <c r="F41" s="139">
        <v>0</v>
      </c>
      <c r="G41" s="139">
        <f t="shared" si="81"/>
        <v>0</v>
      </c>
      <c r="H41" s="139">
        <f t="shared" si="82"/>
        <v>7553.6069999999945</v>
      </c>
      <c r="I41" s="139">
        <v>0</v>
      </c>
      <c r="J41" s="139">
        <v>0</v>
      </c>
      <c r="K41" s="139">
        <f t="shared" si="83"/>
        <v>0</v>
      </c>
      <c r="L41" s="139">
        <v>0</v>
      </c>
      <c r="M41" s="139">
        <f t="shared" si="84"/>
        <v>0</v>
      </c>
      <c r="N41" s="139">
        <f t="shared" si="85"/>
        <v>0</v>
      </c>
      <c r="O41" s="139">
        <v>0</v>
      </c>
      <c r="P41" s="139">
        <v>0</v>
      </c>
      <c r="Q41" s="139">
        <f t="shared" si="86"/>
        <v>0</v>
      </c>
      <c r="R41" s="139">
        <v>0</v>
      </c>
      <c r="S41" s="139">
        <f t="shared" si="87"/>
        <v>0</v>
      </c>
      <c r="T41" s="139">
        <f t="shared" si="88"/>
        <v>0</v>
      </c>
      <c r="U41" s="139">
        <f t="shared" si="89"/>
        <v>7553.6069999999945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13805.438999999997</v>
      </c>
      <c r="D42" s="139">
        <v>20.21</v>
      </c>
      <c r="E42" s="139">
        <f t="shared" si="80"/>
        <v>20.21</v>
      </c>
      <c r="F42" s="139">
        <v>0</v>
      </c>
      <c r="G42" s="139">
        <f t="shared" si="81"/>
        <v>0</v>
      </c>
      <c r="H42" s="139">
        <f t="shared" si="82"/>
        <v>13825.648999999996</v>
      </c>
      <c r="I42" s="139">
        <v>0</v>
      </c>
      <c r="J42" s="139">
        <v>0</v>
      </c>
      <c r="K42" s="139">
        <f t="shared" si="83"/>
        <v>0</v>
      </c>
      <c r="L42" s="139">
        <v>0</v>
      </c>
      <c r="M42" s="139">
        <f t="shared" si="84"/>
        <v>0</v>
      </c>
      <c r="N42" s="139">
        <f t="shared" si="85"/>
        <v>0</v>
      </c>
      <c r="O42" s="139">
        <v>39.019999999999996</v>
      </c>
      <c r="P42" s="139">
        <v>0</v>
      </c>
      <c r="Q42" s="139">
        <f t="shared" si="86"/>
        <v>0</v>
      </c>
      <c r="R42" s="139">
        <v>0</v>
      </c>
      <c r="S42" s="139">
        <f t="shared" si="87"/>
        <v>0</v>
      </c>
      <c r="T42" s="139">
        <f t="shared" si="88"/>
        <v>39.019999999999996</v>
      </c>
      <c r="U42" s="139">
        <f t="shared" si="89"/>
        <v>13864.668999999996</v>
      </c>
    </row>
    <row r="43" spans="1:21" ht="38.25" customHeight="1" x14ac:dyDescent="0.35">
      <c r="A43" s="171">
        <v>28</v>
      </c>
      <c r="B43" s="231" t="s">
        <v>112</v>
      </c>
      <c r="C43" s="139">
        <v>3967.4800000000014</v>
      </c>
      <c r="D43" s="139">
        <v>5.99</v>
      </c>
      <c r="E43" s="139">
        <f t="shared" si="80"/>
        <v>5.99</v>
      </c>
      <c r="F43" s="139">
        <v>0</v>
      </c>
      <c r="G43" s="139">
        <f t="shared" si="81"/>
        <v>0</v>
      </c>
      <c r="H43" s="139">
        <f t="shared" si="82"/>
        <v>3973.4700000000012</v>
      </c>
      <c r="I43" s="139">
        <v>0</v>
      </c>
      <c r="J43" s="139">
        <v>0</v>
      </c>
      <c r="K43" s="139">
        <f t="shared" si="83"/>
        <v>0</v>
      </c>
      <c r="L43" s="139">
        <v>0</v>
      </c>
      <c r="M43" s="139">
        <f t="shared" si="84"/>
        <v>0</v>
      </c>
      <c r="N43" s="139">
        <f t="shared" si="85"/>
        <v>0</v>
      </c>
      <c r="O43" s="139">
        <v>0</v>
      </c>
      <c r="P43" s="139">
        <v>0</v>
      </c>
      <c r="Q43" s="139">
        <f t="shared" si="86"/>
        <v>0</v>
      </c>
      <c r="R43" s="139">
        <v>0</v>
      </c>
      <c r="S43" s="139">
        <f t="shared" si="87"/>
        <v>0</v>
      </c>
      <c r="T43" s="139">
        <f t="shared" si="88"/>
        <v>0</v>
      </c>
      <c r="U43" s="139">
        <f t="shared" si="89"/>
        <v>3973.4700000000012</v>
      </c>
    </row>
    <row r="44" spans="1:21" s="111" customFormat="1" ht="38.25" customHeight="1" x14ac:dyDescent="0.4">
      <c r="A44" s="313" t="s">
        <v>109</v>
      </c>
      <c r="B44" s="313"/>
      <c r="C44" s="141">
        <f>SUM(C40:C43)</f>
        <v>36661.399999999994</v>
      </c>
      <c r="D44" s="141">
        <f t="shared" ref="D44:T44" si="90">SUM(D40:D43)</f>
        <v>190.53000000000003</v>
      </c>
      <c r="E44" s="141">
        <f t="shared" si="90"/>
        <v>190.53000000000003</v>
      </c>
      <c r="F44" s="141">
        <f t="shared" si="90"/>
        <v>0</v>
      </c>
      <c r="G44" s="141">
        <f t="shared" si="90"/>
        <v>0</v>
      </c>
      <c r="H44" s="141">
        <f t="shared" si="90"/>
        <v>36851.929999999993</v>
      </c>
      <c r="I44" s="141">
        <f t="shared" si="90"/>
        <v>0</v>
      </c>
      <c r="J44" s="141">
        <f t="shared" si="90"/>
        <v>0</v>
      </c>
      <c r="K44" s="141">
        <f t="shared" si="90"/>
        <v>0</v>
      </c>
      <c r="L44" s="141">
        <f t="shared" si="90"/>
        <v>0</v>
      </c>
      <c r="M44" s="141">
        <f t="shared" si="90"/>
        <v>0</v>
      </c>
      <c r="N44" s="141">
        <f t="shared" si="90"/>
        <v>0</v>
      </c>
      <c r="O44" s="141">
        <f t="shared" si="90"/>
        <v>39.019999999999996</v>
      </c>
      <c r="P44" s="141">
        <f t="shared" si="90"/>
        <v>0</v>
      </c>
      <c r="Q44" s="141">
        <f t="shared" si="90"/>
        <v>0</v>
      </c>
      <c r="R44" s="141">
        <f t="shared" si="90"/>
        <v>0</v>
      </c>
      <c r="S44" s="141">
        <f t="shared" si="90"/>
        <v>0</v>
      </c>
      <c r="T44" s="141">
        <f t="shared" si="90"/>
        <v>39.019999999999996</v>
      </c>
      <c r="U44" s="141">
        <f t="shared" si="22"/>
        <v>36890.94999999999</v>
      </c>
    </row>
    <row r="45" spans="1:21" ht="38.25" customHeight="1" x14ac:dyDescent="0.35">
      <c r="A45" s="171">
        <v>29</v>
      </c>
      <c r="B45" s="231" t="s">
        <v>113</v>
      </c>
      <c r="C45" s="139">
        <v>8423.3221000000012</v>
      </c>
      <c r="D45" s="139">
        <v>15.15</v>
      </c>
      <c r="E45" s="139">
        <f t="shared" ref="E45:E48" si="91">D45</f>
        <v>15.15</v>
      </c>
      <c r="F45" s="139">
        <v>0</v>
      </c>
      <c r="G45" s="139">
        <f t="shared" ref="G45:G48" si="92">F45</f>
        <v>0</v>
      </c>
      <c r="H45" s="139">
        <f t="shared" ref="H45:H48" si="93">C45+D45-F45</f>
        <v>8438.4721000000009</v>
      </c>
      <c r="I45" s="139">
        <v>16.759999999999998</v>
      </c>
      <c r="J45" s="139">
        <v>0</v>
      </c>
      <c r="K45" s="139">
        <f t="shared" ref="K45:K48" si="94">J45</f>
        <v>0</v>
      </c>
      <c r="L45" s="139">
        <v>0</v>
      </c>
      <c r="M45" s="139">
        <f t="shared" ref="M45:M48" si="95">L45</f>
        <v>0</v>
      </c>
      <c r="N45" s="139">
        <f t="shared" ref="N45:N48" si="96">I45+J45-L45</f>
        <v>16.759999999999998</v>
      </c>
      <c r="O45" s="139">
        <v>14.75</v>
      </c>
      <c r="P45" s="139">
        <v>0</v>
      </c>
      <c r="Q45" s="139">
        <f t="shared" ref="Q45:Q48" si="97">P45</f>
        <v>0</v>
      </c>
      <c r="R45" s="139">
        <v>0</v>
      </c>
      <c r="S45" s="139">
        <f t="shared" ref="S45:S48" si="98">R45</f>
        <v>0</v>
      </c>
      <c r="T45" s="139">
        <f t="shared" ref="T45:T48" si="99">O45+P45-R45</f>
        <v>14.75</v>
      </c>
      <c r="U45" s="139">
        <f t="shared" ref="U45:U48" si="100">H45+N45+T45</f>
        <v>8469.9821000000011</v>
      </c>
    </row>
    <row r="46" spans="1:21" ht="38.25" customHeight="1" x14ac:dyDescent="0.35">
      <c r="A46" s="171">
        <v>30</v>
      </c>
      <c r="B46" s="231" t="s">
        <v>114</v>
      </c>
      <c r="C46" s="139">
        <v>7738.4950000000017</v>
      </c>
      <c r="D46" s="139">
        <v>20.21</v>
      </c>
      <c r="E46" s="139">
        <f t="shared" si="91"/>
        <v>20.21</v>
      </c>
      <c r="F46" s="139">
        <v>0</v>
      </c>
      <c r="G46" s="139">
        <f t="shared" si="92"/>
        <v>0</v>
      </c>
      <c r="H46" s="139">
        <f t="shared" si="93"/>
        <v>7758.7050000000017</v>
      </c>
      <c r="I46" s="139">
        <v>0</v>
      </c>
      <c r="J46" s="139">
        <v>0</v>
      </c>
      <c r="K46" s="139">
        <f t="shared" si="94"/>
        <v>0</v>
      </c>
      <c r="L46" s="139">
        <v>0</v>
      </c>
      <c r="M46" s="139">
        <f t="shared" si="95"/>
        <v>0</v>
      </c>
      <c r="N46" s="139">
        <f t="shared" si="96"/>
        <v>0</v>
      </c>
      <c r="O46" s="139">
        <v>0</v>
      </c>
      <c r="P46" s="139">
        <v>0</v>
      </c>
      <c r="Q46" s="139">
        <f t="shared" si="97"/>
        <v>0</v>
      </c>
      <c r="R46" s="139">
        <v>0</v>
      </c>
      <c r="S46" s="139">
        <f t="shared" si="98"/>
        <v>0</v>
      </c>
      <c r="T46" s="139">
        <f t="shared" si="99"/>
        <v>0</v>
      </c>
      <c r="U46" s="139">
        <f t="shared" si="100"/>
        <v>7758.7050000000017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8784.6400000000012</v>
      </c>
      <c r="D47" s="139">
        <v>43.93</v>
      </c>
      <c r="E47" s="139">
        <f t="shared" si="91"/>
        <v>43.93</v>
      </c>
      <c r="F47" s="139">
        <v>0</v>
      </c>
      <c r="G47" s="139">
        <f t="shared" si="92"/>
        <v>0</v>
      </c>
      <c r="H47" s="139">
        <f t="shared" si="93"/>
        <v>8828.5700000000015</v>
      </c>
      <c r="I47" s="139">
        <v>3.13</v>
      </c>
      <c r="J47" s="139">
        <v>0</v>
      </c>
      <c r="K47" s="139">
        <f t="shared" si="94"/>
        <v>0</v>
      </c>
      <c r="L47" s="139">
        <v>0</v>
      </c>
      <c r="M47" s="139">
        <f t="shared" si="95"/>
        <v>0</v>
      </c>
      <c r="N47" s="139">
        <f t="shared" si="96"/>
        <v>3.13</v>
      </c>
      <c r="O47" s="139">
        <v>0.03</v>
      </c>
      <c r="P47" s="139">
        <v>0</v>
      </c>
      <c r="Q47" s="139">
        <f t="shared" si="97"/>
        <v>0</v>
      </c>
      <c r="R47" s="139">
        <v>0</v>
      </c>
      <c r="S47" s="139">
        <f t="shared" si="98"/>
        <v>0</v>
      </c>
      <c r="T47" s="139">
        <f t="shared" si="99"/>
        <v>0.03</v>
      </c>
      <c r="U47" s="139">
        <f t="shared" si="100"/>
        <v>8831.7300000000014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8196.7889999999989</v>
      </c>
      <c r="D48" s="139">
        <v>309.54000000000002</v>
      </c>
      <c r="E48" s="139">
        <f t="shared" si="91"/>
        <v>309.54000000000002</v>
      </c>
      <c r="F48" s="139">
        <v>0</v>
      </c>
      <c r="G48" s="139">
        <f t="shared" si="92"/>
        <v>0</v>
      </c>
      <c r="H48" s="139">
        <f t="shared" si="93"/>
        <v>8506.3289999999997</v>
      </c>
      <c r="I48" s="139">
        <v>5.0249999999999995</v>
      </c>
      <c r="J48" s="139">
        <v>0</v>
      </c>
      <c r="K48" s="139">
        <f t="shared" si="94"/>
        <v>0</v>
      </c>
      <c r="L48" s="139">
        <v>0</v>
      </c>
      <c r="M48" s="139">
        <f t="shared" si="95"/>
        <v>0</v>
      </c>
      <c r="N48" s="139">
        <f t="shared" si="96"/>
        <v>5.0249999999999995</v>
      </c>
      <c r="O48" s="139">
        <v>0</v>
      </c>
      <c r="P48" s="139">
        <v>0</v>
      </c>
      <c r="Q48" s="139">
        <f t="shared" si="97"/>
        <v>0</v>
      </c>
      <c r="R48" s="139">
        <v>0</v>
      </c>
      <c r="S48" s="139">
        <f t="shared" si="98"/>
        <v>0</v>
      </c>
      <c r="T48" s="139">
        <f t="shared" si="99"/>
        <v>0</v>
      </c>
      <c r="U48" s="139">
        <f t="shared" si="100"/>
        <v>8511.3539999999994</v>
      </c>
    </row>
    <row r="49" spans="1:21" s="111" customFormat="1" ht="38.25" customHeight="1" x14ac:dyDescent="0.4">
      <c r="A49" s="313" t="s">
        <v>117</v>
      </c>
      <c r="B49" s="313"/>
      <c r="C49" s="141">
        <f>SUM(C45:C48)</f>
        <v>33143.246100000004</v>
      </c>
      <c r="D49" s="141">
        <f t="shared" ref="D49:T49" si="101">SUM(D45:D48)</f>
        <v>388.83000000000004</v>
      </c>
      <c r="E49" s="141">
        <f t="shared" si="101"/>
        <v>388.83000000000004</v>
      </c>
      <c r="F49" s="141">
        <f t="shared" si="101"/>
        <v>0</v>
      </c>
      <c r="G49" s="141">
        <f t="shared" si="101"/>
        <v>0</v>
      </c>
      <c r="H49" s="141">
        <f t="shared" si="101"/>
        <v>33532.076100000006</v>
      </c>
      <c r="I49" s="141">
        <f t="shared" si="101"/>
        <v>24.914999999999996</v>
      </c>
      <c r="J49" s="141">
        <f t="shared" si="101"/>
        <v>0</v>
      </c>
      <c r="K49" s="141">
        <f t="shared" si="101"/>
        <v>0</v>
      </c>
      <c r="L49" s="141">
        <f t="shared" si="101"/>
        <v>0</v>
      </c>
      <c r="M49" s="141">
        <f t="shared" si="101"/>
        <v>0</v>
      </c>
      <c r="N49" s="141">
        <f t="shared" si="101"/>
        <v>24.914999999999996</v>
      </c>
      <c r="O49" s="141">
        <f t="shared" si="101"/>
        <v>14.78</v>
      </c>
      <c r="P49" s="141">
        <f t="shared" si="101"/>
        <v>0</v>
      </c>
      <c r="Q49" s="141">
        <f t="shared" si="101"/>
        <v>0</v>
      </c>
      <c r="R49" s="141">
        <f t="shared" si="101"/>
        <v>0</v>
      </c>
      <c r="S49" s="141">
        <f t="shared" si="101"/>
        <v>0</v>
      </c>
      <c r="T49" s="141">
        <f t="shared" si="101"/>
        <v>14.78</v>
      </c>
      <c r="U49" s="141">
        <f t="shared" si="22"/>
        <v>33571.771100000005</v>
      </c>
    </row>
    <row r="50" spans="1:21" s="145" customFormat="1" ht="38.25" customHeight="1" x14ac:dyDescent="0.4">
      <c r="A50" s="313" t="s">
        <v>118</v>
      </c>
      <c r="B50" s="313"/>
      <c r="C50" s="141">
        <f>C49+C44</f>
        <v>69804.646099999998</v>
      </c>
      <c r="D50" s="141">
        <f t="shared" ref="D50:U50" si="102">D49+D44</f>
        <v>579.36000000000013</v>
      </c>
      <c r="E50" s="141">
        <f t="shared" si="102"/>
        <v>579.36000000000013</v>
      </c>
      <c r="F50" s="141">
        <f t="shared" si="102"/>
        <v>0</v>
      </c>
      <c r="G50" s="141">
        <f t="shared" si="102"/>
        <v>0</v>
      </c>
      <c r="H50" s="141">
        <f t="shared" si="102"/>
        <v>70384.006099999999</v>
      </c>
      <c r="I50" s="141">
        <f t="shared" si="102"/>
        <v>24.914999999999996</v>
      </c>
      <c r="J50" s="141">
        <f t="shared" si="102"/>
        <v>0</v>
      </c>
      <c r="K50" s="141">
        <f t="shared" si="102"/>
        <v>0</v>
      </c>
      <c r="L50" s="141">
        <f t="shared" si="102"/>
        <v>0</v>
      </c>
      <c r="M50" s="141">
        <f t="shared" si="102"/>
        <v>0</v>
      </c>
      <c r="N50" s="141">
        <f t="shared" si="102"/>
        <v>24.914999999999996</v>
      </c>
      <c r="O50" s="141">
        <f t="shared" si="102"/>
        <v>53.8</v>
      </c>
      <c r="P50" s="141">
        <f t="shared" si="102"/>
        <v>0</v>
      </c>
      <c r="Q50" s="141">
        <f t="shared" si="102"/>
        <v>0</v>
      </c>
      <c r="R50" s="141">
        <f t="shared" si="102"/>
        <v>0</v>
      </c>
      <c r="S50" s="141">
        <f t="shared" si="102"/>
        <v>0</v>
      </c>
      <c r="T50" s="141">
        <f t="shared" si="102"/>
        <v>53.8</v>
      </c>
      <c r="U50" s="141">
        <f t="shared" si="102"/>
        <v>70462.721099999995</v>
      </c>
    </row>
    <row r="51" spans="1:21" s="146" customFormat="1" ht="38.25" customHeight="1" x14ac:dyDescent="0.4">
      <c r="A51" s="313" t="s">
        <v>119</v>
      </c>
      <c r="B51" s="313"/>
      <c r="C51" s="141">
        <f>C11+C15+C19+C24+C28+C33+C38+C44+C49</f>
        <v>115412.4899</v>
      </c>
      <c r="D51" s="141">
        <f t="shared" ref="D51:U51" si="103">D11+D15+D19+D24+D28+D33+D38+D44+D49</f>
        <v>720.03000000000009</v>
      </c>
      <c r="E51" s="141">
        <f t="shared" si="103"/>
        <v>720.03000000000009</v>
      </c>
      <c r="F51" s="141">
        <f t="shared" si="103"/>
        <v>0</v>
      </c>
      <c r="G51" s="141">
        <f t="shared" si="103"/>
        <v>0</v>
      </c>
      <c r="H51" s="141">
        <f t="shared" si="103"/>
        <v>116132.51989999998</v>
      </c>
      <c r="I51" s="141">
        <f t="shared" si="103"/>
        <v>8430.6940000000013</v>
      </c>
      <c r="J51" s="141">
        <f t="shared" si="103"/>
        <v>46.754999999999995</v>
      </c>
      <c r="K51" s="141">
        <f t="shared" si="103"/>
        <v>46.754999999999995</v>
      </c>
      <c r="L51" s="141">
        <f t="shared" si="103"/>
        <v>6.7299999999999995</v>
      </c>
      <c r="M51" s="141">
        <f t="shared" si="103"/>
        <v>6.7299999999999995</v>
      </c>
      <c r="N51" s="141">
        <f t="shared" si="103"/>
        <v>8470.7190000000028</v>
      </c>
      <c r="O51" s="141">
        <f t="shared" si="103"/>
        <v>941.48</v>
      </c>
      <c r="P51" s="141">
        <f t="shared" si="103"/>
        <v>35.480000000000004</v>
      </c>
      <c r="Q51" s="141">
        <f t="shared" si="103"/>
        <v>35.480000000000004</v>
      </c>
      <c r="R51" s="141">
        <f t="shared" si="103"/>
        <v>27.67</v>
      </c>
      <c r="S51" s="141">
        <f t="shared" si="103"/>
        <v>27.67</v>
      </c>
      <c r="T51" s="141">
        <f t="shared" si="103"/>
        <v>949.29000000000019</v>
      </c>
      <c r="U51" s="141">
        <f t="shared" si="103"/>
        <v>125552.5289</v>
      </c>
    </row>
    <row r="52" spans="1:21" s="111" customFormat="1" ht="24" customHeight="1" x14ac:dyDescent="0.4">
      <c r="A52" s="115"/>
      <c r="B52" s="115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</row>
    <row r="53" spans="1:21" s="111" customFormat="1" ht="19.5" customHeight="1" x14ac:dyDescent="0.4">
      <c r="A53" s="115"/>
      <c r="B53" s="115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</row>
    <row r="54" spans="1:21" s="115" customFormat="1" ht="24.75" hidden="1" customHeight="1" x14ac:dyDescent="0.4">
      <c r="B54" s="227"/>
      <c r="C54" s="278" t="s">
        <v>54</v>
      </c>
      <c r="D54" s="278"/>
      <c r="E54" s="278"/>
      <c r="F54" s="278"/>
      <c r="G54" s="278"/>
      <c r="H54" s="118"/>
      <c r="I54" s="227"/>
      <c r="J54" s="227">
        <f>D51+J51+P51-F51-L51-R51</f>
        <v>767.86500000000012</v>
      </c>
      <c r="K54" s="227"/>
      <c r="L54" s="227"/>
      <c r="M54" s="227"/>
      <c r="N54" s="227"/>
      <c r="R54" s="227"/>
      <c r="U54" s="227"/>
    </row>
    <row r="55" spans="1:21" s="115" customFormat="1" ht="30" hidden="1" customHeight="1" x14ac:dyDescent="0.35">
      <c r="B55" s="227"/>
      <c r="C55" s="278" t="s">
        <v>55</v>
      </c>
      <c r="D55" s="278"/>
      <c r="E55" s="278"/>
      <c r="F55" s="278"/>
      <c r="G55" s="278"/>
      <c r="H55" s="119"/>
      <c r="I55" s="227"/>
      <c r="J55" s="227">
        <f>E51+K51+Q51-G51-M51-S51</f>
        <v>767.86500000000012</v>
      </c>
      <c r="K55" s="227"/>
      <c r="L55" s="227"/>
      <c r="M55" s="227"/>
      <c r="N55" s="227"/>
      <c r="R55" s="227"/>
      <c r="T55" s="227"/>
    </row>
    <row r="56" spans="1:21" ht="33" hidden="1" customHeight="1" x14ac:dyDescent="0.5">
      <c r="C56" s="278" t="s">
        <v>56</v>
      </c>
      <c r="D56" s="278"/>
      <c r="E56" s="278"/>
      <c r="F56" s="278"/>
      <c r="G56" s="278"/>
      <c r="H56" s="119"/>
      <c r="I56" s="121"/>
      <c r="J56" s="227">
        <f>H51+N51+T51</f>
        <v>125552.52889999998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27"/>
      <c r="E57" s="227"/>
      <c r="F57" s="227"/>
      <c r="G57" s="227"/>
      <c r="H57" s="119"/>
      <c r="I57" s="121"/>
      <c r="J57" s="227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27"/>
      <c r="E58" s="227"/>
      <c r="F58" s="227"/>
      <c r="G58" s="227"/>
      <c r="H58" s="119"/>
      <c r="I58" s="121"/>
      <c r="J58" s="227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87" t="s">
        <v>57</v>
      </c>
      <c r="C59" s="287"/>
      <c r="D59" s="287"/>
      <c r="E59" s="287"/>
      <c r="F59" s="287"/>
      <c r="G59" s="153"/>
      <c r="H59" s="154"/>
      <c r="I59" s="155"/>
      <c r="J59" s="288"/>
      <c r="K59" s="286"/>
      <c r="L59" s="286"/>
      <c r="M59" s="169" t="e">
        <f>#REF!+'dec-2021'!J54</f>
        <v>#REF!</v>
      </c>
      <c r="N59" s="154"/>
      <c r="O59" s="154"/>
      <c r="P59" s="228"/>
      <c r="Q59" s="287" t="s">
        <v>58</v>
      </c>
      <c r="R59" s="287"/>
      <c r="S59" s="287"/>
      <c r="T59" s="287"/>
      <c r="U59" s="287"/>
    </row>
    <row r="60" spans="1:21" s="152" customFormat="1" ht="37.5" hidden="1" customHeight="1" x14ac:dyDescent="0.45">
      <c r="B60" s="287" t="s">
        <v>59</v>
      </c>
      <c r="C60" s="287"/>
      <c r="D60" s="287"/>
      <c r="E60" s="287"/>
      <c r="F60" s="287"/>
      <c r="G60" s="154"/>
      <c r="H60" s="153"/>
      <c r="I60" s="156"/>
      <c r="J60" s="157"/>
      <c r="K60" s="229"/>
      <c r="L60" s="157"/>
      <c r="M60" s="154"/>
      <c r="N60" s="153"/>
      <c r="O60" s="154"/>
      <c r="P60" s="228"/>
      <c r="Q60" s="287" t="s">
        <v>59</v>
      </c>
      <c r="R60" s="287"/>
      <c r="S60" s="287"/>
      <c r="T60" s="287"/>
      <c r="U60" s="287"/>
    </row>
    <row r="61" spans="1:21" s="152" customFormat="1" ht="37.5" hidden="1" customHeight="1" x14ac:dyDescent="0.45">
      <c r="I61" s="158"/>
      <c r="J61" s="286" t="s">
        <v>61</v>
      </c>
      <c r="K61" s="286"/>
      <c r="L61" s="286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86" t="s">
        <v>62</v>
      </c>
      <c r="K62" s="286"/>
      <c r="L62" s="286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opLeftCell="A43" zoomScale="55" zoomScaleNormal="55" workbookViewId="0">
      <selection activeCell="H7" sqref="H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148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53" t="s">
        <v>122</v>
      </c>
      <c r="B4" s="355" t="s">
        <v>121</v>
      </c>
      <c r="C4" s="358" t="s">
        <v>131</v>
      </c>
      <c r="D4" s="359"/>
      <c r="E4" s="359"/>
      <c r="F4" s="359"/>
      <c r="G4" s="359"/>
      <c r="H4" s="359"/>
      <c r="I4" s="358" t="s">
        <v>146</v>
      </c>
      <c r="J4" s="359"/>
      <c r="K4" s="359"/>
      <c r="L4" s="359"/>
      <c r="M4" s="359"/>
      <c r="N4" s="359"/>
      <c r="O4" s="358" t="s">
        <v>147</v>
      </c>
      <c r="P4" s="359"/>
      <c r="Q4" s="359"/>
      <c r="R4" s="359"/>
      <c r="S4" s="359"/>
      <c r="T4" s="359"/>
      <c r="U4" s="234"/>
    </row>
    <row r="5" spans="1:21" s="108" customFormat="1" ht="54.75" customHeight="1" x14ac:dyDescent="0.25">
      <c r="A5" s="354"/>
      <c r="B5" s="356"/>
      <c r="C5" s="349" t="s">
        <v>6</v>
      </c>
      <c r="D5" s="351" t="s">
        <v>127</v>
      </c>
      <c r="E5" s="352"/>
      <c r="F5" s="351" t="s">
        <v>126</v>
      </c>
      <c r="G5" s="352"/>
      <c r="H5" s="349" t="s">
        <v>9</v>
      </c>
      <c r="I5" s="349" t="s">
        <v>6</v>
      </c>
      <c r="J5" s="351" t="s">
        <v>127</v>
      </c>
      <c r="K5" s="352"/>
      <c r="L5" s="351" t="s">
        <v>126</v>
      </c>
      <c r="M5" s="352"/>
      <c r="N5" s="349" t="s">
        <v>9</v>
      </c>
      <c r="O5" s="349" t="s">
        <v>6</v>
      </c>
      <c r="P5" s="351" t="s">
        <v>127</v>
      </c>
      <c r="Q5" s="352"/>
      <c r="R5" s="351" t="s">
        <v>126</v>
      </c>
      <c r="S5" s="352"/>
      <c r="T5" s="349" t="s">
        <v>9</v>
      </c>
      <c r="U5" s="355" t="s">
        <v>128</v>
      </c>
    </row>
    <row r="6" spans="1:21" s="108" customFormat="1" ht="38.25" customHeight="1" x14ac:dyDescent="0.25">
      <c r="A6" s="354"/>
      <c r="B6" s="357"/>
      <c r="C6" s="350"/>
      <c r="D6" s="231" t="s">
        <v>124</v>
      </c>
      <c r="E6" s="231" t="s">
        <v>125</v>
      </c>
      <c r="F6" s="231" t="s">
        <v>124</v>
      </c>
      <c r="G6" s="231" t="s">
        <v>125</v>
      </c>
      <c r="H6" s="350"/>
      <c r="I6" s="350"/>
      <c r="J6" s="231" t="s">
        <v>124</v>
      </c>
      <c r="K6" s="231" t="s">
        <v>125</v>
      </c>
      <c r="L6" s="231" t="s">
        <v>124</v>
      </c>
      <c r="M6" s="231" t="s">
        <v>125</v>
      </c>
      <c r="N6" s="350"/>
      <c r="O6" s="350"/>
      <c r="P6" s="231" t="s">
        <v>124</v>
      </c>
      <c r="Q6" s="231" t="s">
        <v>125</v>
      </c>
      <c r="R6" s="231" t="s">
        <v>124</v>
      </c>
      <c r="S6" s="231" t="s">
        <v>125</v>
      </c>
      <c r="T6" s="350"/>
      <c r="U6" s="357"/>
    </row>
    <row r="7" spans="1:21" ht="38.25" customHeight="1" x14ac:dyDescent="0.35">
      <c r="A7" s="230">
        <v>1</v>
      </c>
      <c r="B7" s="231" t="s">
        <v>78</v>
      </c>
      <c r="C7" s="139">
        <v>90.039999999999978</v>
      </c>
      <c r="D7" s="139">
        <v>0</v>
      </c>
      <c r="E7" s="139">
        <v>0</v>
      </c>
      <c r="F7" s="139">
        <v>0</v>
      </c>
      <c r="G7" s="139">
        <v>0</v>
      </c>
      <c r="H7" s="139">
        <v>90.039999999999978</v>
      </c>
      <c r="I7" s="139">
        <v>585.09199999999987</v>
      </c>
      <c r="J7" s="139">
        <v>2.4470000000000001</v>
      </c>
      <c r="K7" s="139">
        <v>3.3220000000000001</v>
      </c>
      <c r="L7" s="139">
        <v>0</v>
      </c>
      <c r="M7" s="139">
        <v>0</v>
      </c>
      <c r="N7" s="139">
        <v>587.53899999999987</v>
      </c>
      <c r="O7" s="139">
        <v>8.436000000000007</v>
      </c>
      <c r="P7" s="139">
        <v>0</v>
      </c>
      <c r="Q7" s="139">
        <v>0</v>
      </c>
      <c r="R7" s="139">
        <v>0</v>
      </c>
      <c r="S7" s="139">
        <v>1.01</v>
      </c>
      <c r="T7" s="139">
        <v>8.436000000000007</v>
      </c>
      <c r="U7" s="139">
        <v>686.01499999999987</v>
      </c>
    </row>
    <row r="8" spans="1:21" ht="38.25" customHeight="1" x14ac:dyDescent="0.35">
      <c r="A8" s="230">
        <v>2</v>
      </c>
      <c r="B8" s="231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313.15499999999997</v>
      </c>
      <c r="J8" s="139">
        <v>1.72</v>
      </c>
      <c r="K8" s="139">
        <v>2.895</v>
      </c>
      <c r="L8" s="139">
        <v>0</v>
      </c>
      <c r="M8" s="139">
        <v>0</v>
      </c>
      <c r="N8" s="139">
        <v>314.875</v>
      </c>
      <c r="O8" s="139">
        <v>66.290000000000006</v>
      </c>
      <c r="P8" s="139">
        <v>0</v>
      </c>
      <c r="Q8" s="139">
        <v>0</v>
      </c>
      <c r="R8" s="139">
        <v>0</v>
      </c>
      <c r="S8" s="139">
        <v>0</v>
      </c>
      <c r="T8" s="139">
        <v>66.290000000000006</v>
      </c>
      <c r="U8" s="139">
        <v>646.55499999999995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703.89800000000002</v>
      </c>
      <c r="J9" s="139">
        <v>36.949999999999996</v>
      </c>
      <c r="K9" s="139">
        <v>39.819999999999993</v>
      </c>
      <c r="L9" s="139">
        <v>0</v>
      </c>
      <c r="M9" s="139">
        <v>0</v>
      </c>
      <c r="N9" s="139">
        <v>740.84800000000007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994.74800000000005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343.76999999999992</v>
      </c>
      <c r="J10" s="139">
        <v>0.73</v>
      </c>
      <c r="K10" s="139">
        <v>2.125</v>
      </c>
      <c r="L10" s="139">
        <v>0</v>
      </c>
      <c r="M10" s="139">
        <v>0</v>
      </c>
      <c r="N10" s="139">
        <v>344.49999999999994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344.69999999999993</v>
      </c>
    </row>
    <row r="11" spans="1:21" s="111" customFormat="1" ht="38.25" customHeight="1" x14ac:dyDescent="0.4">
      <c r="A11" s="308" t="s">
        <v>82</v>
      </c>
      <c r="B11" s="309"/>
      <c r="C11" s="141">
        <f>SUM(C7:C10)</f>
        <v>564.58999999999992</v>
      </c>
      <c r="D11" s="141">
        <v>0</v>
      </c>
      <c r="E11" s="141">
        <v>0</v>
      </c>
      <c r="F11" s="141">
        <v>0</v>
      </c>
      <c r="G11" s="141">
        <v>0</v>
      </c>
      <c r="H11" s="141">
        <v>564.58999999999992</v>
      </c>
      <c r="I11" s="141">
        <v>1945.915</v>
      </c>
      <c r="J11" s="141">
        <v>41.846999999999994</v>
      </c>
      <c r="K11" s="141">
        <v>48.161999999999992</v>
      </c>
      <c r="L11" s="141">
        <v>0</v>
      </c>
      <c r="M11" s="141">
        <v>0</v>
      </c>
      <c r="N11" s="141">
        <v>1987.7619999999999</v>
      </c>
      <c r="O11" s="141">
        <v>119.66600000000001</v>
      </c>
      <c r="P11" s="141">
        <v>0</v>
      </c>
      <c r="Q11" s="141">
        <v>0</v>
      </c>
      <c r="R11" s="141">
        <v>0</v>
      </c>
      <c r="S11" s="141">
        <v>1.01</v>
      </c>
      <c r="T11" s="141">
        <v>119.66600000000001</v>
      </c>
      <c r="U11" s="141">
        <v>2672.018</v>
      </c>
    </row>
    <row r="12" spans="1:21" ht="38.25" customHeight="1" x14ac:dyDescent="0.35">
      <c r="A12" s="171">
        <v>4</v>
      </c>
      <c r="B12" s="231" t="s">
        <v>83</v>
      </c>
      <c r="C12" s="139">
        <v>355.3099999999996</v>
      </c>
      <c r="D12" s="139">
        <v>0</v>
      </c>
      <c r="E12" s="139">
        <v>0</v>
      </c>
      <c r="F12" s="139">
        <v>0</v>
      </c>
      <c r="G12" s="139">
        <v>0</v>
      </c>
      <c r="H12" s="139">
        <v>355.3099999999996</v>
      </c>
      <c r="I12" s="139">
        <v>805.16499999999996</v>
      </c>
      <c r="J12" s="221">
        <v>45.9</v>
      </c>
      <c r="K12" s="139">
        <v>46.36</v>
      </c>
      <c r="L12" s="139">
        <v>0</v>
      </c>
      <c r="M12" s="139">
        <v>0</v>
      </c>
      <c r="N12" s="139">
        <v>851.06499999999994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v>36.850000000000009</v>
      </c>
      <c r="U12" s="139">
        <v>1243.2249999999995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v>0</v>
      </c>
      <c r="F13" s="139">
        <v>0</v>
      </c>
      <c r="G13" s="139">
        <v>0</v>
      </c>
      <c r="H13" s="139">
        <v>312.23000000000013</v>
      </c>
      <c r="I13" s="139">
        <v>529.51200000000028</v>
      </c>
      <c r="J13" s="221">
        <v>1.43</v>
      </c>
      <c r="K13" s="139">
        <v>2.41</v>
      </c>
      <c r="L13" s="139">
        <v>0</v>
      </c>
      <c r="M13" s="139">
        <v>0</v>
      </c>
      <c r="N13" s="139">
        <v>530.94200000000023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911.56200000000035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v>0</v>
      </c>
      <c r="F14" s="139">
        <v>0</v>
      </c>
      <c r="G14" s="139">
        <v>0</v>
      </c>
      <c r="H14" s="139">
        <v>1216.4399999999994</v>
      </c>
      <c r="I14" s="139">
        <v>867.58800000000019</v>
      </c>
      <c r="J14" s="221">
        <v>4.76</v>
      </c>
      <c r="K14" s="139">
        <v>7.56</v>
      </c>
      <c r="L14" s="139">
        <v>0</v>
      </c>
      <c r="M14" s="139">
        <v>0</v>
      </c>
      <c r="N14" s="139">
        <v>872.34800000000018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2150.1179999999995</v>
      </c>
    </row>
    <row r="15" spans="1:21" s="111" customFormat="1" ht="38.25" customHeight="1" x14ac:dyDescent="0.4">
      <c r="A15" s="308" t="s">
        <v>86</v>
      </c>
      <c r="B15" s="309"/>
      <c r="C15" s="141">
        <f>SUM(C12:C14)</f>
        <v>1883.9799999999991</v>
      </c>
      <c r="D15" s="141">
        <v>0</v>
      </c>
      <c r="E15" s="141">
        <v>0</v>
      </c>
      <c r="F15" s="141">
        <v>0</v>
      </c>
      <c r="G15" s="141">
        <v>0</v>
      </c>
      <c r="H15" s="141">
        <v>1883.9799999999991</v>
      </c>
      <c r="I15" s="141">
        <v>2202.2650000000003</v>
      </c>
      <c r="J15" s="141">
        <v>52.089999999999996</v>
      </c>
      <c r="K15" s="141">
        <v>56.33</v>
      </c>
      <c r="L15" s="141">
        <v>0</v>
      </c>
      <c r="M15" s="141">
        <v>0</v>
      </c>
      <c r="N15" s="141">
        <v>2254.3550000000005</v>
      </c>
      <c r="O15" s="141">
        <v>166.57</v>
      </c>
      <c r="P15" s="141">
        <v>0</v>
      </c>
      <c r="Q15" s="141">
        <v>0</v>
      </c>
      <c r="R15" s="141">
        <v>0</v>
      </c>
      <c r="S15" s="141">
        <v>0</v>
      </c>
      <c r="T15" s="141">
        <v>166.57</v>
      </c>
      <c r="U15" s="141">
        <v>4304.9049999999988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993.84400000000039</v>
      </c>
      <c r="D16" s="139">
        <v>0.26</v>
      </c>
      <c r="E16" s="139">
        <v>0.55000000000000004</v>
      </c>
      <c r="F16" s="139">
        <v>0</v>
      </c>
      <c r="G16" s="139">
        <v>0</v>
      </c>
      <c r="H16" s="139">
        <v>994.39400000000035</v>
      </c>
      <c r="I16" s="139">
        <v>299.17599999999999</v>
      </c>
      <c r="J16" s="139">
        <v>27.75</v>
      </c>
      <c r="K16" s="139">
        <v>27.88</v>
      </c>
      <c r="L16" s="139">
        <v>0</v>
      </c>
      <c r="M16" s="139">
        <v>0</v>
      </c>
      <c r="N16" s="139">
        <v>326.92599999999999</v>
      </c>
      <c r="O16" s="139">
        <v>177.41200000000003</v>
      </c>
      <c r="P16" s="139">
        <v>0</v>
      </c>
      <c r="Q16" s="139">
        <v>0</v>
      </c>
      <c r="R16" s="139">
        <v>0</v>
      </c>
      <c r="S16" s="139">
        <v>0</v>
      </c>
      <c r="T16" s="139">
        <v>177.41200000000003</v>
      </c>
      <c r="U16" s="139">
        <v>1498.7320000000004</v>
      </c>
    </row>
    <row r="17" spans="1:21" ht="38.25" customHeight="1" x14ac:dyDescent="0.35">
      <c r="A17" s="171">
        <v>9</v>
      </c>
      <c r="B17" s="231" t="s">
        <v>120</v>
      </c>
      <c r="C17" s="139">
        <v>6.415999999999948</v>
      </c>
      <c r="D17" s="139">
        <v>0</v>
      </c>
      <c r="E17" s="139">
        <v>0</v>
      </c>
      <c r="F17" s="139">
        <v>0</v>
      </c>
      <c r="G17" s="139">
        <v>0</v>
      </c>
      <c r="H17" s="139">
        <v>6.415999999999948</v>
      </c>
      <c r="I17" s="139">
        <v>513.11000000000013</v>
      </c>
      <c r="J17" s="139">
        <v>9.6300000000000008</v>
      </c>
      <c r="K17" s="139">
        <v>10.99</v>
      </c>
      <c r="L17" s="139">
        <v>0</v>
      </c>
      <c r="M17" s="139">
        <v>0</v>
      </c>
      <c r="N17" s="139">
        <v>522.74000000000012</v>
      </c>
      <c r="O17" s="139">
        <v>6.33</v>
      </c>
      <c r="P17" s="139">
        <v>0</v>
      </c>
      <c r="Q17" s="139">
        <v>0</v>
      </c>
      <c r="R17" s="139">
        <v>0</v>
      </c>
      <c r="S17" s="139">
        <v>0</v>
      </c>
      <c r="T17" s="139">
        <v>6.33</v>
      </c>
      <c r="U17" s="139">
        <v>535.4860000000001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75.986000000000104</v>
      </c>
      <c r="D18" s="139">
        <v>0</v>
      </c>
      <c r="E18" s="139">
        <v>0.24</v>
      </c>
      <c r="F18" s="139">
        <v>0</v>
      </c>
      <c r="G18" s="139">
        <v>0</v>
      </c>
      <c r="H18" s="139">
        <v>76.226000000000099</v>
      </c>
      <c r="I18" s="139">
        <v>485.93699999999995</v>
      </c>
      <c r="J18" s="139">
        <v>0.67</v>
      </c>
      <c r="K18" s="139">
        <v>1.07</v>
      </c>
      <c r="L18" s="139">
        <v>0</v>
      </c>
      <c r="M18" s="139">
        <v>0</v>
      </c>
      <c r="N18" s="139">
        <v>486.60699999999997</v>
      </c>
      <c r="O18" s="139">
        <v>38.869999999999997</v>
      </c>
      <c r="P18" s="139">
        <v>0</v>
      </c>
      <c r="Q18" s="139">
        <v>0</v>
      </c>
      <c r="R18" s="139">
        <v>0</v>
      </c>
      <c r="S18" s="139">
        <v>0</v>
      </c>
      <c r="T18" s="139">
        <v>38.869999999999997</v>
      </c>
      <c r="U18" s="139">
        <v>601.70300000000009</v>
      </c>
    </row>
    <row r="19" spans="1:21" s="111" customFormat="1" ht="38.25" customHeight="1" x14ac:dyDescent="0.4">
      <c r="A19" s="308" t="s">
        <v>89</v>
      </c>
      <c r="B19" s="309"/>
      <c r="C19" s="141">
        <f>SUM(C16:C18)</f>
        <v>1076.2460000000005</v>
      </c>
      <c r="D19" s="141">
        <v>0.26</v>
      </c>
      <c r="E19" s="141">
        <v>0.79</v>
      </c>
      <c r="F19" s="141">
        <v>0</v>
      </c>
      <c r="G19" s="141">
        <v>0</v>
      </c>
      <c r="H19" s="141">
        <v>1077.0360000000003</v>
      </c>
      <c r="I19" s="141">
        <v>1298.223</v>
      </c>
      <c r="J19" s="141">
        <v>38.050000000000004</v>
      </c>
      <c r="K19" s="141">
        <v>39.940000000000005</v>
      </c>
      <c r="L19" s="141">
        <v>0</v>
      </c>
      <c r="M19" s="141">
        <v>0</v>
      </c>
      <c r="N19" s="141">
        <v>1336.2729999999999</v>
      </c>
      <c r="O19" s="141">
        <v>222.61200000000005</v>
      </c>
      <c r="P19" s="141">
        <v>0</v>
      </c>
      <c r="Q19" s="141">
        <v>0</v>
      </c>
      <c r="R19" s="141">
        <v>0</v>
      </c>
      <c r="S19" s="141">
        <v>0</v>
      </c>
      <c r="T19" s="141">
        <v>222.61200000000005</v>
      </c>
      <c r="U19" s="141">
        <v>2635.9210000000003</v>
      </c>
    </row>
    <row r="20" spans="1:21" ht="38.25" customHeight="1" x14ac:dyDescent="0.35">
      <c r="A20" s="171">
        <v>8</v>
      </c>
      <c r="B20" s="231" t="s">
        <v>91</v>
      </c>
      <c r="C20" s="139">
        <v>630.56999999999994</v>
      </c>
      <c r="D20" s="139">
        <v>0.31</v>
      </c>
      <c r="E20" s="139">
        <v>1.1200000000000001</v>
      </c>
      <c r="F20" s="139">
        <v>0</v>
      </c>
      <c r="G20" s="139">
        <v>0</v>
      </c>
      <c r="H20" s="139">
        <v>631.68999999999983</v>
      </c>
      <c r="I20" s="139">
        <v>400.25800000000015</v>
      </c>
      <c r="J20" s="139">
        <v>1.81</v>
      </c>
      <c r="K20" s="139">
        <v>3.92</v>
      </c>
      <c r="L20" s="139">
        <v>0</v>
      </c>
      <c r="M20" s="139">
        <v>1.04</v>
      </c>
      <c r="N20" s="139">
        <v>402.06800000000015</v>
      </c>
      <c r="O20" s="139">
        <v>40.350000000000009</v>
      </c>
      <c r="P20" s="139">
        <v>0</v>
      </c>
      <c r="Q20" s="139">
        <v>0</v>
      </c>
      <c r="R20" s="139">
        <v>0</v>
      </c>
      <c r="S20" s="139">
        <v>0</v>
      </c>
      <c r="T20" s="139">
        <v>40.350000000000009</v>
      </c>
      <c r="U20" s="139">
        <v>1074.1079999999999</v>
      </c>
    </row>
    <row r="21" spans="1:21" ht="38.25" customHeight="1" x14ac:dyDescent="0.35">
      <c r="A21" s="171">
        <v>9</v>
      </c>
      <c r="B21" s="231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0</v>
      </c>
      <c r="H21" s="139">
        <v>22.51</v>
      </c>
      <c r="I21" s="139">
        <v>414.83699999999999</v>
      </c>
      <c r="J21" s="139">
        <v>0.91</v>
      </c>
      <c r="K21" s="139">
        <v>17.63</v>
      </c>
      <c r="L21" s="139">
        <v>0</v>
      </c>
      <c r="M21" s="139">
        <v>0</v>
      </c>
      <c r="N21" s="139">
        <v>415.74700000000001</v>
      </c>
      <c r="O21" s="139">
        <v>19.369999999999997</v>
      </c>
      <c r="P21" s="139">
        <v>0</v>
      </c>
      <c r="Q21" s="139">
        <v>0</v>
      </c>
      <c r="R21" s="139">
        <v>0</v>
      </c>
      <c r="S21" s="139">
        <v>0</v>
      </c>
      <c r="T21" s="139">
        <v>19.369999999999997</v>
      </c>
      <c r="U21" s="139">
        <v>457.62700000000001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v>0</v>
      </c>
      <c r="F22" s="139">
        <v>0</v>
      </c>
      <c r="G22" s="139">
        <v>0</v>
      </c>
      <c r="H22" s="139">
        <v>22.430000000000021</v>
      </c>
      <c r="I22" s="139">
        <v>690.27</v>
      </c>
      <c r="J22" s="139">
        <v>0.41</v>
      </c>
      <c r="K22" s="139">
        <v>1.71</v>
      </c>
      <c r="L22" s="139">
        <v>0.08</v>
      </c>
      <c r="M22" s="139">
        <v>0.08</v>
      </c>
      <c r="N22" s="139">
        <v>690.59999999999991</v>
      </c>
      <c r="O22" s="139">
        <v>0.60000000000000098</v>
      </c>
      <c r="P22" s="139">
        <v>0</v>
      </c>
      <c r="Q22" s="139">
        <v>0</v>
      </c>
      <c r="R22" s="139">
        <v>0</v>
      </c>
      <c r="S22" s="139">
        <v>0</v>
      </c>
      <c r="T22" s="139">
        <v>0.60000000000000098</v>
      </c>
      <c r="U22" s="139">
        <v>713.63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427.24</v>
      </c>
      <c r="D23" s="139">
        <v>0</v>
      </c>
      <c r="E23" s="139">
        <v>3.4</v>
      </c>
      <c r="F23" s="139">
        <v>0</v>
      </c>
      <c r="G23" s="139">
        <v>0</v>
      </c>
      <c r="H23" s="139">
        <v>430.64</v>
      </c>
      <c r="I23" s="139">
        <v>108.235</v>
      </c>
      <c r="J23" s="139">
        <v>9.16</v>
      </c>
      <c r="K23" s="139">
        <v>15.51</v>
      </c>
      <c r="L23" s="139">
        <v>0</v>
      </c>
      <c r="M23" s="139">
        <v>0</v>
      </c>
      <c r="N23" s="139">
        <v>117.395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570.53499999999997</v>
      </c>
    </row>
    <row r="24" spans="1:21" s="111" customFormat="1" ht="38.25" customHeight="1" x14ac:dyDescent="0.4">
      <c r="A24" s="313" t="s">
        <v>94</v>
      </c>
      <c r="B24" s="313"/>
      <c r="C24" s="141">
        <f>SUM(C20:C23)</f>
        <v>1102.75</v>
      </c>
      <c r="D24" s="141">
        <v>0.31</v>
      </c>
      <c r="E24" s="141">
        <v>4.5199999999999996</v>
      </c>
      <c r="F24" s="141">
        <v>0</v>
      </c>
      <c r="G24" s="141">
        <v>0</v>
      </c>
      <c r="H24" s="141">
        <v>1107.27</v>
      </c>
      <c r="I24" s="141">
        <v>1613.6000000000001</v>
      </c>
      <c r="J24" s="141">
        <v>12.290000000000001</v>
      </c>
      <c r="K24" s="141">
        <v>38.769999999999996</v>
      </c>
      <c r="L24" s="141">
        <v>0.08</v>
      </c>
      <c r="M24" s="141">
        <v>1.1200000000000001</v>
      </c>
      <c r="N24" s="141">
        <v>1625.8100000000002</v>
      </c>
      <c r="O24" s="141">
        <v>82.820000000000007</v>
      </c>
      <c r="P24" s="141">
        <v>0</v>
      </c>
      <c r="Q24" s="141">
        <v>0</v>
      </c>
      <c r="R24" s="141">
        <v>0</v>
      </c>
      <c r="S24" s="141">
        <v>0</v>
      </c>
      <c r="T24" s="141">
        <v>82.820000000000007</v>
      </c>
      <c r="U24" s="141">
        <v>2815.9</v>
      </c>
    </row>
    <row r="25" spans="1:21" s="145" customFormat="1" ht="38.25" customHeight="1" x14ac:dyDescent="0.4">
      <c r="A25" s="308" t="s">
        <v>95</v>
      </c>
      <c r="B25" s="309"/>
      <c r="C25" s="141">
        <f>C24+C19+C15+C11</f>
        <v>4627.5659999999998</v>
      </c>
      <c r="D25" s="141">
        <v>0.57000000000000006</v>
      </c>
      <c r="E25" s="141">
        <v>5.3100000000000005</v>
      </c>
      <c r="F25" s="141">
        <v>0</v>
      </c>
      <c r="G25" s="141">
        <v>0</v>
      </c>
      <c r="H25" s="141">
        <v>4632.8759999999993</v>
      </c>
      <c r="I25" s="141">
        <v>7060.0030000000006</v>
      </c>
      <c r="J25" s="141">
        <v>144.27699999999999</v>
      </c>
      <c r="K25" s="141">
        <v>183.202</v>
      </c>
      <c r="L25" s="141">
        <v>0.08</v>
      </c>
      <c r="M25" s="141">
        <v>1.1200000000000001</v>
      </c>
      <c r="N25" s="141">
        <v>7204.2000000000007</v>
      </c>
      <c r="O25" s="141">
        <v>591.66800000000012</v>
      </c>
      <c r="P25" s="141">
        <v>0</v>
      </c>
      <c r="Q25" s="141">
        <v>0</v>
      </c>
      <c r="R25" s="141">
        <v>0</v>
      </c>
      <c r="S25" s="141">
        <v>1.01</v>
      </c>
      <c r="T25" s="141">
        <v>591.66800000000012</v>
      </c>
      <c r="U25" s="141">
        <v>12428.744000000001</v>
      </c>
    </row>
    <row r="26" spans="1:21" ht="38.25" customHeight="1" x14ac:dyDescent="0.35">
      <c r="A26" s="171">
        <v>15</v>
      </c>
      <c r="B26" s="231" t="s">
        <v>96</v>
      </c>
      <c r="C26" s="139">
        <v>1552.9799999999998</v>
      </c>
      <c r="D26" s="139">
        <v>5.8</v>
      </c>
      <c r="E26" s="139">
        <v>7.83</v>
      </c>
      <c r="F26" s="139">
        <v>0</v>
      </c>
      <c r="G26" s="139">
        <v>0</v>
      </c>
      <c r="H26" s="139">
        <v>1560.8099999999997</v>
      </c>
      <c r="I26" s="139">
        <v>67.33</v>
      </c>
      <c r="J26" s="139">
        <v>0.15</v>
      </c>
      <c r="K26" s="139">
        <v>0.15</v>
      </c>
      <c r="L26" s="139">
        <v>0</v>
      </c>
      <c r="M26" s="139">
        <v>0</v>
      </c>
      <c r="N26" s="139">
        <v>67.48</v>
      </c>
      <c r="O26" s="139">
        <v>16.11</v>
      </c>
      <c r="P26" s="139">
        <v>0</v>
      </c>
      <c r="Q26" s="139">
        <v>0</v>
      </c>
      <c r="R26" s="139">
        <v>0</v>
      </c>
      <c r="S26" s="139">
        <v>0</v>
      </c>
      <c r="T26" s="139">
        <v>16.11</v>
      </c>
      <c r="U26" s="139">
        <v>1644.3999999999996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5576.7050000000017</v>
      </c>
      <c r="D27" s="139">
        <v>10.72</v>
      </c>
      <c r="E27" s="139">
        <v>21.57</v>
      </c>
      <c r="F27" s="139">
        <v>0</v>
      </c>
      <c r="G27" s="139">
        <v>0</v>
      </c>
      <c r="H27" s="139">
        <v>5598.2750000000024</v>
      </c>
      <c r="I27" s="139">
        <v>596.32799999999997</v>
      </c>
      <c r="J27" s="139">
        <v>0.72</v>
      </c>
      <c r="K27" s="139">
        <v>2.8600000000000003</v>
      </c>
      <c r="L27" s="139">
        <v>0</v>
      </c>
      <c r="M27" s="139">
        <v>0</v>
      </c>
      <c r="N27" s="139">
        <v>597.048</v>
      </c>
      <c r="O27" s="139">
        <v>33.49</v>
      </c>
      <c r="P27" s="139">
        <v>0</v>
      </c>
      <c r="Q27" s="139">
        <v>0</v>
      </c>
      <c r="R27" s="139">
        <v>0</v>
      </c>
      <c r="S27" s="139">
        <v>0</v>
      </c>
      <c r="T27" s="139">
        <v>33.49</v>
      </c>
      <c r="U27" s="139">
        <v>6228.8130000000019</v>
      </c>
    </row>
    <row r="28" spans="1:21" s="111" customFormat="1" ht="38.25" customHeight="1" x14ac:dyDescent="0.4">
      <c r="A28" s="313" t="s">
        <v>98</v>
      </c>
      <c r="B28" s="313"/>
      <c r="C28" s="141">
        <f>SUM(C26:C27)</f>
        <v>7129.6850000000013</v>
      </c>
      <c r="D28" s="141">
        <v>16.52</v>
      </c>
      <c r="E28" s="141">
        <v>29.4</v>
      </c>
      <c r="F28" s="141">
        <v>0</v>
      </c>
      <c r="G28" s="141">
        <v>0</v>
      </c>
      <c r="H28" s="141">
        <v>7159.0850000000028</v>
      </c>
      <c r="I28" s="141">
        <v>663.65800000000002</v>
      </c>
      <c r="J28" s="141">
        <v>0.87</v>
      </c>
      <c r="K28" s="141">
        <v>3.0100000000000002</v>
      </c>
      <c r="L28" s="141">
        <v>0</v>
      </c>
      <c r="M28" s="141">
        <v>0</v>
      </c>
      <c r="N28" s="141">
        <v>664.52800000000002</v>
      </c>
      <c r="O28" s="141">
        <v>49.6</v>
      </c>
      <c r="P28" s="141">
        <v>0</v>
      </c>
      <c r="Q28" s="141">
        <v>0</v>
      </c>
      <c r="R28" s="141">
        <v>0</v>
      </c>
      <c r="S28" s="141">
        <v>0</v>
      </c>
      <c r="T28" s="141">
        <v>49.6</v>
      </c>
      <c r="U28" s="141">
        <v>7873.2130000000034</v>
      </c>
    </row>
    <row r="29" spans="1:21" ht="38.25" customHeight="1" x14ac:dyDescent="0.35">
      <c r="A29" s="171">
        <v>17</v>
      </c>
      <c r="B29" s="231" t="s">
        <v>99</v>
      </c>
      <c r="C29" s="139">
        <v>4454.4680000000017</v>
      </c>
      <c r="D29" s="139">
        <v>2.9</v>
      </c>
      <c r="E29" s="139">
        <v>5.85</v>
      </c>
      <c r="F29" s="139">
        <v>0</v>
      </c>
      <c r="G29" s="139">
        <v>0</v>
      </c>
      <c r="H29" s="139">
        <v>4460.3180000000011</v>
      </c>
      <c r="I29" s="139">
        <v>151.81</v>
      </c>
      <c r="J29" s="139">
        <v>0</v>
      </c>
      <c r="K29" s="139">
        <v>0</v>
      </c>
      <c r="L29" s="139">
        <v>0</v>
      </c>
      <c r="M29" s="139">
        <v>0</v>
      </c>
      <c r="N29" s="139">
        <v>151.81</v>
      </c>
      <c r="O29" s="139">
        <v>34.52000000000001</v>
      </c>
      <c r="P29" s="139">
        <v>0</v>
      </c>
      <c r="Q29" s="139">
        <v>0</v>
      </c>
      <c r="R29" s="139">
        <v>0</v>
      </c>
      <c r="S29" s="139">
        <v>23.2</v>
      </c>
      <c r="T29" s="139">
        <v>34.52000000000001</v>
      </c>
      <c r="U29" s="139">
        <v>4646.648000000002</v>
      </c>
    </row>
    <row r="30" spans="1:21" ht="38.25" customHeight="1" x14ac:dyDescent="0.35">
      <c r="A30" s="171">
        <v>18</v>
      </c>
      <c r="B30" s="231" t="s">
        <v>100</v>
      </c>
      <c r="C30" s="139">
        <v>3575.37</v>
      </c>
      <c r="D30" s="139">
        <v>1.32</v>
      </c>
      <c r="E30" s="139">
        <v>20.740000000000002</v>
      </c>
      <c r="F30" s="139">
        <v>0</v>
      </c>
      <c r="G30" s="139">
        <v>0</v>
      </c>
      <c r="H30" s="139">
        <v>3596.11</v>
      </c>
      <c r="I30" s="139">
        <v>41.697000000000003</v>
      </c>
      <c r="J30" s="139">
        <v>0</v>
      </c>
      <c r="K30" s="139">
        <v>0</v>
      </c>
      <c r="L30" s="139">
        <v>0</v>
      </c>
      <c r="M30" s="139">
        <v>0</v>
      </c>
      <c r="N30" s="139">
        <v>41.697000000000003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3661.0570000000002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4589.9989999999998</v>
      </c>
      <c r="D31" s="139">
        <v>8.85</v>
      </c>
      <c r="E31" s="139">
        <v>11.66</v>
      </c>
      <c r="F31" s="139">
        <v>0</v>
      </c>
      <c r="G31" s="139">
        <v>0</v>
      </c>
      <c r="H31" s="139">
        <v>4601.6590000000006</v>
      </c>
      <c r="I31" s="139">
        <v>86.710000000000022</v>
      </c>
      <c r="J31" s="139">
        <v>0</v>
      </c>
      <c r="K31" s="139">
        <v>0</v>
      </c>
      <c r="L31" s="139">
        <v>0</v>
      </c>
      <c r="M31" s="139">
        <v>0</v>
      </c>
      <c r="N31" s="139">
        <v>86.710000000000022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4703.219000000001</v>
      </c>
    </row>
    <row r="32" spans="1:21" ht="38.25" customHeight="1" x14ac:dyDescent="0.35">
      <c r="A32" s="171">
        <v>20</v>
      </c>
      <c r="B32" s="231" t="s">
        <v>102</v>
      </c>
      <c r="C32" s="139">
        <v>2342.8557999999994</v>
      </c>
      <c r="D32" s="139">
        <v>3.91</v>
      </c>
      <c r="E32" s="139">
        <v>7.15</v>
      </c>
      <c r="F32" s="139">
        <v>9.7200000000000006</v>
      </c>
      <c r="G32" s="139">
        <v>9.7200000000000006</v>
      </c>
      <c r="H32" s="139">
        <v>2340.2857999999992</v>
      </c>
      <c r="I32" s="139">
        <v>391.83599999999996</v>
      </c>
      <c r="J32" s="139">
        <v>1.6</v>
      </c>
      <c r="K32" s="139">
        <v>1.6</v>
      </c>
      <c r="L32" s="139">
        <v>0</v>
      </c>
      <c r="M32" s="139">
        <v>0</v>
      </c>
      <c r="N32" s="139">
        <v>393.43599999999998</v>
      </c>
      <c r="O32" s="139">
        <v>67.551999999999992</v>
      </c>
      <c r="P32" s="139">
        <v>0</v>
      </c>
      <c r="Q32" s="139">
        <v>0</v>
      </c>
      <c r="R32" s="139">
        <v>0</v>
      </c>
      <c r="S32" s="139">
        <v>0</v>
      </c>
      <c r="T32" s="139">
        <v>67.551999999999992</v>
      </c>
      <c r="U32" s="139">
        <v>2801.2737999999995</v>
      </c>
    </row>
    <row r="33" spans="1:21" s="111" customFormat="1" ht="38.25" customHeight="1" x14ac:dyDescent="0.4">
      <c r="A33" s="313" t="s">
        <v>99</v>
      </c>
      <c r="B33" s="313"/>
      <c r="C33" s="141">
        <f>SUM(C29:C32)</f>
        <v>14962.692800000001</v>
      </c>
      <c r="D33" s="141">
        <v>16.98</v>
      </c>
      <c r="E33" s="141">
        <v>45.400000000000006</v>
      </c>
      <c r="F33" s="141">
        <v>9.7200000000000006</v>
      </c>
      <c r="G33" s="141">
        <v>9.7200000000000006</v>
      </c>
      <c r="H33" s="141">
        <v>14998.372800000001</v>
      </c>
      <c r="I33" s="141">
        <v>672.053</v>
      </c>
      <c r="J33" s="141">
        <v>1.6</v>
      </c>
      <c r="K33" s="141">
        <v>1.6</v>
      </c>
      <c r="L33" s="141">
        <v>0</v>
      </c>
      <c r="M33" s="141">
        <v>0</v>
      </c>
      <c r="N33" s="141">
        <v>673.65300000000002</v>
      </c>
      <c r="O33" s="141">
        <v>140.172</v>
      </c>
      <c r="P33" s="141">
        <v>0</v>
      </c>
      <c r="Q33" s="141">
        <v>0</v>
      </c>
      <c r="R33" s="141">
        <v>0</v>
      </c>
      <c r="S33" s="141">
        <v>23.2</v>
      </c>
      <c r="T33" s="141">
        <v>140.172</v>
      </c>
      <c r="U33" s="141">
        <v>15812.197800000002</v>
      </c>
    </row>
    <row r="34" spans="1:21" ht="38.25" customHeight="1" x14ac:dyDescent="0.35">
      <c r="A34" s="171">
        <v>21</v>
      </c>
      <c r="B34" s="231" t="s">
        <v>103</v>
      </c>
      <c r="C34" s="139">
        <v>4439.1000000000004</v>
      </c>
      <c r="D34" s="139">
        <v>40.32</v>
      </c>
      <c r="E34" s="139">
        <v>51.769999999999996</v>
      </c>
      <c r="F34" s="139">
        <v>0</v>
      </c>
      <c r="G34" s="139">
        <v>0</v>
      </c>
      <c r="H34" s="139">
        <v>4490.87</v>
      </c>
      <c r="I34" s="139">
        <v>0</v>
      </c>
      <c r="J34" s="139">
        <v>22.14</v>
      </c>
      <c r="K34" s="139">
        <v>22.14</v>
      </c>
      <c r="L34" s="139">
        <v>0</v>
      </c>
      <c r="M34" s="139">
        <v>0</v>
      </c>
      <c r="N34" s="139">
        <v>22.14</v>
      </c>
      <c r="O34" s="139">
        <v>0</v>
      </c>
      <c r="P34" s="139">
        <v>72.7</v>
      </c>
      <c r="Q34" s="139">
        <v>72.7</v>
      </c>
      <c r="R34" s="139">
        <v>0</v>
      </c>
      <c r="S34" s="139">
        <v>0</v>
      </c>
      <c r="T34" s="139">
        <v>72.7</v>
      </c>
      <c r="U34" s="139">
        <v>4585.71</v>
      </c>
    </row>
    <row r="35" spans="1:21" ht="38.25" customHeight="1" x14ac:dyDescent="0.35">
      <c r="A35" s="171">
        <v>22</v>
      </c>
      <c r="B35" s="231" t="s">
        <v>104</v>
      </c>
      <c r="C35" s="139">
        <v>6209.5799999999972</v>
      </c>
      <c r="D35" s="139">
        <v>37.64</v>
      </c>
      <c r="E35" s="139">
        <v>96.35</v>
      </c>
      <c r="F35" s="139">
        <v>0</v>
      </c>
      <c r="G35" s="139">
        <v>0</v>
      </c>
      <c r="H35" s="139">
        <v>6305.9299999999976</v>
      </c>
      <c r="I35" s="139">
        <v>12.61</v>
      </c>
      <c r="J35" s="139">
        <v>20.57</v>
      </c>
      <c r="K35" s="139">
        <v>26.26</v>
      </c>
      <c r="L35" s="139">
        <v>0</v>
      </c>
      <c r="M35" s="139">
        <v>0</v>
      </c>
      <c r="N35" s="139">
        <v>33.18</v>
      </c>
      <c r="O35" s="139">
        <v>74.610000000000014</v>
      </c>
      <c r="P35" s="139">
        <v>16.190000000000001</v>
      </c>
      <c r="Q35" s="139">
        <v>32.380000000000003</v>
      </c>
      <c r="R35" s="139">
        <v>0</v>
      </c>
      <c r="S35" s="139">
        <v>0</v>
      </c>
      <c r="T35" s="139">
        <v>90.800000000000011</v>
      </c>
      <c r="U35" s="139">
        <v>6429.909999999998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3451.1</v>
      </c>
      <c r="D36" s="139">
        <v>32.31</v>
      </c>
      <c r="E36" s="139">
        <v>51.27</v>
      </c>
      <c r="F36" s="139">
        <v>0</v>
      </c>
      <c r="G36" s="139">
        <v>0</v>
      </c>
      <c r="H36" s="139">
        <v>3502.37</v>
      </c>
      <c r="I36" s="139">
        <v>25.05000000000004</v>
      </c>
      <c r="J36" s="139">
        <v>0</v>
      </c>
      <c r="K36" s="139">
        <v>0</v>
      </c>
      <c r="L36" s="139">
        <v>0</v>
      </c>
      <c r="M36" s="139">
        <v>4.63</v>
      </c>
      <c r="N36" s="139">
        <v>25.05000000000004</v>
      </c>
      <c r="O36" s="139">
        <v>36.379999999999995</v>
      </c>
      <c r="P36" s="139">
        <v>0</v>
      </c>
      <c r="Q36" s="139">
        <v>19.29</v>
      </c>
      <c r="R36" s="139">
        <v>0</v>
      </c>
      <c r="S36" s="139">
        <v>0</v>
      </c>
      <c r="T36" s="139">
        <v>36.379999999999995</v>
      </c>
      <c r="U36" s="139">
        <v>3563.8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4788.1199999999972</v>
      </c>
      <c r="D37" s="139">
        <v>32.239999999999995</v>
      </c>
      <c r="E37" s="139">
        <v>37.749999999999993</v>
      </c>
      <c r="F37" s="139">
        <v>0</v>
      </c>
      <c r="G37" s="139">
        <v>0</v>
      </c>
      <c r="H37" s="139">
        <v>4825.8699999999972</v>
      </c>
      <c r="I37" s="139">
        <v>12.430000000000001</v>
      </c>
      <c r="J37" s="139">
        <v>0</v>
      </c>
      <c r="K37" s="139">
        <v>0</v>
      </c>
      <c r="L37" s="139">
        <v>0</v>
      </c>
      <c r="M37" s="139">
        <v>1.06</v>
      </c>
      <c r="N37" s="139">
        <v>12.430000000000001</v>
      </c>
      <c r="O37" s="139">
        <v>3.0599999999999996</v>
      </c>
      <c r="P37" s="139">
        <v>0</v>
      </c>
      <c r="Q37" s="139">
        <v>0</v>
      </c>
      <c r="R37" s="139">
        <v>0</v>
      </c>
      <c r="S37" s="139">
        <v>3.46</v>
      </c>
      <c r="T37" s="139">
        <v>3.0599999999999996</v>
      </c>
      <c r="U37" s="139">
        <v>4841.3599999999979</v>
      </c>
    </row>
    <row r="38" spans="1:21" s="111" customFormat="1" ht="38.25" customHeight="1" x14ac:dyDescent="0.4">
      <c r="A38" s="313" t="s">
        <v>107</v>
      </c>
      <c r="B38" s="313"/>
      <c r="C38" s="141">
        <f>SUM(C34:C37)</f>
        <v>18887.899999999994</v>
      </c>
      <c r="D38" s="141">
        <v>142.51</v>
      </c>
      <c r="E38" s="141">
        <v>237.14</v>
      </c>
      <c r="F38" s="141">
        <v>0</v>
      </c>
      <c r="G38" s="141">
        <v>0</v>
      </c>
      <c r="H38" s="141">
        <v>19125.03999999999</v>
      </c>
      <c r="I38" s="141">
        <v>50.090000000000039</v>
      </c>
      <c r="J38" s="141">
        <v>42.71</v>
      </c>
      <c r="K38" s="141">
        <v>48.4</v>
      </c>
      <c r="L38" s="141">
        <v>0</v>
      </c>
      <c r="M38" s="141">
        <v>5.6899999999999995</v>
      </c>
      <c r="N38" s="141">
        <v>92.80000000000004</v>
      </c>
      <c r="O38" s="141">
        <v>114.05000000000001</v>
      </c>
      <c r="P38" s="141">
        <v>88.89</v>
      </c>
      <c r="Q38" s="141">
        <v>124.37</v>
      </c>
      <c r="R38" s="141">
        <v>0</v>
      </c>
      <c r="S38" s="141">
        <v>3.46</v>
      </c>
      <c r="T38" s="141">
        <v>202.94</v>
      </c>
      <c r="U38" s="141">
        <v>19420.779999999988</v>
      </c>
    </row>
    <row r="39" spans="1:21" s="145" customFormat="1" ht="38.25" customHeight="1" x14ac:dyDescent="0.4">
      <c r="A39" s="313" t="s">
        <v>108</v>
      </c>
      <c r="B39" s="313"/>
      <c r="C39" s="141">
        <f>C38+C33+C28</f>
        <v>40980.277799999996</v>
      </c>
      <c r="D39" s="141">
        <v>176.01</v>
      </c>
      <c r="E39" s="141">
        <v>311.94</v>
      </c>
      <c r="F39" s="141">
        <v>9.7200000000000006</v>
      </c>
      <c r="G39" s="141">
        <v>9.7200000000000006</v>
      </c>
      <c r="H39" s="141">
        <v>41282.497799999997</v>
      </c>
      <c r="I39" s="141">
        <v>1385.8009999999999</v>
      </c>
      <c r="J39" s="141">
        <v>45.18</v>
      </c>
      <c r="K39" s="141">
        <v>53.01</v>
      </c>
      <c r="L39" s="141">
        <v>0</v>
      </c>
      <c r="M39" s="141">
        <v>5.6899999999999995</v>
      </c>
      <c r="N39" s="141">
        <v>1430.981</v>
      </c>
      <c r="O39" s="141">
        <v>303.822</v>
      </c>
      <c r="P39" s="141">
        <v>88.89</v>
      </c>
      <c r="Q39" s="141">
        <v>124.37</v>
      </c>
      <c r="R39" s="141">
        <v>0</v>
      </c>
      <c r="S39" s="141">
        <v>26.66</v>
      </c>
      <c r="T39" s="141">
        <v>392.71199999999999</v>
      </c>
      <c r="U39" s="141">
        <v>43106.190799999997</v>
      </c>
    </row>
    <row r="40" spans="1:21" ht="38.25" customHeight="1" x14ac:dyDescent="0.35">
      <c r="A40" s="171">
        <v>25</v>
      </c>
      <c r="B40" s="231" t="s">
        <v>109</v>
      </c>
      <c r="C40" s="139">
        <v>11390.444</v>
      </c>
      <c r="D40" s="139">
        <v>30.82</v>
      </c>
      <c r="E40" s="139">
        <v>139.58000000000001</v>
      </c>
      <c r="F40" s="139">
        <v>0</v>
      </c>
      <c r="G40" s="139">
        <v>0</v>
      </c>
      <c r="H40" s="139">
        <v>11530.023999999999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11530.023999999999</v>
      </c>
    </row>
    <row r="41" spans="1:21" ht="38.25" customHeight="1" x14ac:dyDescent="0.35">
      <c r="A41" s="171">
        <v>26</v>
      </c>
      <c r="B41" s="231" t="s">
        <v>110</v>
      </c>
      <c r="C41" s="139">
        <v>7498.0369999999948</v>
      </c>
      <c r="D41" s="139">
        <v>88.75</v>
      </c>
      <c r="E41" s="139">
        <v>144.32</v>
      </c>
      <c r="F41" s="139">
        <v>0</v>
      </c>
      <c r="G41" s="139">
        <v>0</v>
      </c>
      <c r="H41" s="139">
        <v>7642.3569999999945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7642.3569999999945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13805.438999999997</v>
      </c>
      <c r="D42" s="139">
        <v>4.1399999999999997</v>
      </c>
      <c r="E42" s="139">
        <v>24.35</v>
      </c>
      <c r="F42" s="139">
        <v>0</v>
      </c>
      <c r="G42" s="139">
        <v>0</v>
      </c>
      <c r="H42" s="139">
        <v>13829.788999999995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39.019999999999996</v>
      </c>
      <c r="P42" s="139">
        <v>0</v>
      </c>
      <c r="Q42" s="139">
        <v>0</v>
      </c>
      <c r="R42" s="139">
        <v>0</v>
      </c>
      <c r="S42" s="139">
        <v>0</v>
      </c>
      <c r="T42" s="139">
        <v>39.019999999999996</v>
      </c>
      <c r="U42" s="139">
        <v>13868.808999999996</v>
      </c>
    </row>
    <row r="43" spans="1:21" ht="38.25" customHeight="1" x14ac:dyDescent="0.35">
      <c r="A43" s="171">
        <v>28</v>
      </c>
      <c r="B43" s="231" t="s">
        <v>112</v>
      </c>
      <c r="C43" s="139">
        <v>3967.4800000000014</v>
      </c>
      <c r="D43" s="139">
        <v>5.37</v>
      </c>
      <c r="E43" s="139">
        <v>11.36</v>
      </c>
      <c r="F43" s="139">
        <v>0</v>
      </c>
      <c r="G43" s="139">
        <v>0</v>
      </c>
      <c r="H43" s="139">
        <v>3978.8400000000011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3978.8400000000011</v>
      </c>
    </row>
    <row r="44" spans="1:21" s="111" customFormat="1" ht="38.25" customHeight="1" x14ac:dyDescent="0.4">
      <c r="A44" s="313" t="s">
        <v>109</v>
      </c>
      <c r="B44" s="313"/>
      <c r="C44" s="141">
        <f>SUM(C40:C43)</f>
        <v>36661.399999999994</v>
      </c>
      <c r="D44" s="141">
        <v>129.07999999999998</v>
      </c>
      <c r="E44" s="141">
        <v>319.61</v>
      </c>
      <c r="F44" s="141">
        <v>0</v>
      </c>
      <c r="G44" s="141">
        <v>0</v>
      </c>
      <c r="H44" s="141">
        <v>36981.009999999995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39.019999999999996</v>
      </c>
      <c r="P44" s="141">
        <v>0</v>
      </c>
      <c r="Q44" s="141">
        <v>0</v>
      </c>
      <c r="R44" s="141">
        <v>0</v>
      </c>
      <c r="S44" s="141">
        <v>0</v>
      </c>
      <c r="T44" s="141">
        <v>39.019999999999996</v>
      </c>
      <c r="U44" s="141">
        <v>37020.029999999992</v>
      </c>
    </row>
    <row r="45" spans="1:21" ht="38.25" customHeight="1" x14ac:dyDescent="0.35">
      <c r="A45" s="171">
        <v>29</v>
      </c>
      <c r="B45" s="231" t="s">
        <v>113</v>
      </c>
      <c r="C45" s="139">
        <v>8423.3221000000012</v>
      </c>
      <c r="D45" s="139">
        <v>17.41</v>
      </c>
      <c r="E45" s="139">
        <v>32.56</v>
      </c>
      <c r="F45" s="139">
        <v>0</v>
      </c>
      <c r="G45" s="139">
        <v>0</v>
      </c>
      <c r="H45" s="139">
        <v>8455.8821000000007</v>
      </c>
      <c r="I45" s="139">
        <v>16.759999999999998</v>
      </c>
      <c r="J45" s="139">
        <v>0.22</v>
      </c>
      <c r="K45" s="139">
        <v>0.22</v>
      </c>
      <c r="L45" s="139">
        <v>0</v>
      </c>
      <c r="M45" s="139">
        <v>0</v>
      </c>
      <c r="N45" s="139">
        <v>16.979999999999997</v>
      </c>
      <c r="O45" s="139">
        <v>14.75</v>
      </c>
      <c r="P45" s="139">
        <v>0</v>
      </c>
      <c r="Q45" s="139">
        <v>0</v>
      </c>
      <c r="R45" s="139">
        <v>0</v>
      </c>
      <c r="S45" s="139">
        <v>0</v>
      </c>
      <c r="T45" s="139">
        <v>14.75</v>
      </c>
      <c r="U45" s="139">
        <v>8487.6121000000003</v>
      </c>
    </row>
    <row r="46" spans="1:21" ht="38.25" customHeight="1" x14ac:dyDescent="0.35">
      <c r="A46" s="171">
        <v>30</v>
      </c>
      <c r="B46" s="231" t="s">
        <v>114</v>
      </c>
      <c r="C46" s="139">
        <v>7738.4950000000017</v>
      </c>
      <c r="D46" s="139">
        <v>6.14</v>
      </c>
      <c r="E46" s="139">
        <v>26.35</v>
      </c>
      <c r="F46" s="139">
        <v>0</v>
      </c>
      <c r="G46" s="139">
        <v>0</v>
      </c>
      <c r="H46" s="139">
        <v>7764.8450000000021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7764.8450000000021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8784.6400000000012</v>
      </c>
      <c r="D47" s="139">
        <v>33.22</v>
      </c>
      <c r="E47" s="139">
        <v>77.150000000000006</v>
      </c>
      <c r="F47" s="139">
        <v>0</v>
      </c>
      <c r="G47" s="139">
        <v>0</v>
      </c>
      <c r="H47" s="139">
        <v>8861.7900000000009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8864.9500000000007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8196.7889999999989</v>
      </c>
      <c r="D48" s="139">
        <v>48.15</v>
      </c>
      <c r="E48" s="139">
        <v>357.69</v>
      </c>
      <c r="F48" s="139">
        <v>0</v>
      </c>
      <c r="G48" s="139">
        <v>0</v>
      </c>
      <c r="H48" s="139">
        <v>8554.4789999999994</v>
      </c>
      <c r="I48" s="139">
        <v>5.0249999999999995</v>
      </c>
      <c r="J48" s="139">
        <v>0</v>
      </c>
      <c r="K48" s="139">
        <v>0</v>
      </c>
      <c r="L48" s="139">
        <v>0</v>
      </c>
      <c r="M48" s="139">
        <v>0</v>
      </c>
      <c r="N48" s="139">
        <v>5.0249999999999995</v>
      </c>
      <c r="O48" s="139">
        <v>0</v>
      </c>
      <c r="P48" s="139">
        <v>4.21</v>
      </c>
      <c r="Q48" s="139">
        <v>4.21</v>
      </c>
      <c r="R48" s="139">
        <v>0</v>
      </c>
      <c r="S48" s="139">
        <v>0</v>
      </c>
      <c r="T48" s="139">
        <v>4.21</v>
      </c>
      <c r="U48" s="139">
        <v>8563.7139999999981</v>
      </c>
    </row>
    <row r="49" spans="1:21" s="111" customFormat="1" ht="38.25" customHeight="1" x14ac:dyDescent="0.4">
      <c r="A49" s="313" t="s">
        <v>117</v>
      </c>
      <c r="B49" s="313"/>
      <c r="C49" s="141">
        <f>SUM(C45:C48)</f>
        <v>33143.246100000004</v>
      </c>
      <c r="D49" s="141">
        <v>104.91999999999999</v>
      </c>
      <c r="E49" s="141">
        <v>493.75</v>
      </c>
      <c r="F49" s="141">
        <v>0</v>
      </c>
      <c r="G49" s="141">
        <v>0</v>
      </c>
      <c r="H49" s="141">
        <v>33636.996100000004</v>
      </c>
      <c r="I49" s="141">
        <v>24.914999999999996</v>
      </c>
      <c r="J49" s="141">
        <v>0.22</v>
      </c>
      <c r="K49" s="141">
        <v>0.22</v>
      </c>
      <c r="L49" s="141">
        <v>0</v>
      </c>
      <c r="M49" s="141">
        <v>0</v>
      </c>
      <c r="N49" s="141">
        <v>25.134999999999994</v>
      </c>
      <c r="O49" s="141">
        <v>14.78</v>
      </c>
      <c r="P49" s="141">
        <v>4.21</v>
      </c>
      <c r="Q49" s="141">
        <v>4.21</v>
      </c>
      <c r="R49" s="141">
        <v>0</v>
      </c>
      <c r="S49" s="141">
        <v>0</v>
      </c>
      <c r="T49" s="141">
        <v>18.989999999999998</v>
      </c>
      <c r="U49" s="141">
        <v>33681.121100000004</v>
      </c>
    </row>
    <row r="50" spans="1:21" s="145" customFormat="1" ht="38.25" customHeight="1" x14ac:dyDescent="0.4">
      <c r="A50" s="313" t="s">
        <v>118</v>
      </c>
      <c r="B50" s="313"/>
      <c r="C50" s="141">
        <f>C49+C44</f>
        <v>69804.646099999998</v>
      </c>
      <c r="D50" s="141">
        <v>233.99999999999997</v>
      </c>
      <c r="E50" s="141">
        <v>813.36000000000013</v>
      </c>
      <c r="F50" s="141">
        <v>0</v>
      </c>
      <c r="G50" s="141">
        <v>0</v>
      </c>
      <c r="H50" s="141">
        <v>70618.006099999999</v>
      </c>
      <c r="I50" s="141">
        <v>24.914999999999996</v>
      </c>
      <c r="J50" s="141">
        <v>0.22</v>
      </c>
      <c r="K50" s="141">
        <v>0.22</v>
      </c>
      <c r="L50" s="141">
        <v>0</v>
      </c>
      <c r="M50" s="141">
        <v>0</v>
      </c>
      <c r="N50" s="141">
        <v>25.134999999999994</v>
      </c>
      <c r="O50" s="141">
        <v>53.8</v>
      </c>
      <c r="P50" s="141">
        <v>4.21</v>
      </c>
      <c r="Q50" s="141">
        <v>4.21</v>
      </c>
      <c r="R50" s="141">
        <v>0</v>
      </c>
      <c r="S50" s="141">
        <v>0</v>
      </c>
      <c r="T50" s="141">
        <v>58.01</v>
      </c>
      <c r="U50" s="141">
        <v>70701.151099999988</v>
      </c>
    </row>
    <row r="51" spans="1:21" s="146" customFormat="1" ht="38.25" customHeight="1" x14ac:dyDescent="0.4">
      <c r="A51" s="313" t="s">
        <v>119</v>
      </c>
      <c r="B51" s="313"/>
      <c r="C51" s="141">
        <f>C11+C15+C19+C24+C28+C33+C38+C44+C49</f>
        <v>115412.4899</v>
      </c>
      <c r="D51" s="141">
        <v>410.58</v>
      </c>
      <c r="E51" s="141">
        <v>1130.6100000000001</v>
      </c>
      <c r="F51" s="141">
        <v>9.7200000000000006</v>
      </c>
      <c r="G51" s="141">
        <v>9.7200000000000006</v>
      </c>
      <c r="H51" s="141">
        <v>116533.3799</v>
      </c>
      <c r="I51" s="141">
        <v>8470.719000000001</v>
      </c>
      <c r="J51" s="141">
        <v>189.67699999999999</v>
      </c>
      <c r="K51" s="141">
        <v>236.43199999999999</v>
      </c>
      <c r="L51" s="141">
        <v>0.08</v>
      </c>
      <c r="M51" s="141">
        <v>6.81</v>
      </c>
      <c r="N51" s="141">
        <v>8660.3160000000007</v>
      </c>
      <c r="O51" s="141">
        <v>949.29000000000019</v>
      </c>
      <c r="P51" s="141">
        <v>93.1</v>
      </c>
      <c r="Q51" s="141">
        <v>128.57999999999998</v>
      </c>
      <c r="R51" s="141">
        <v>0</v>
      </c>
      <c r="S51" s="141">
        <v>27.67</v>
      </c>
      <c r="T51" s="141">
        <v>1042.3900000000001</v>
      </c>
      <c r="U51" s="141">
        <v>126236.08590000001</v>
      </c>
    </row>
    <row r="52" spans="1:21" s="111" customFormat="1" ht="24" customHeight="1" x14ac:dyDescent="0.4">
      <c r="A52" s="115"/>
      <c r="B52" s="115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</row>
    <row r="53" spans="1:21" s="111" customFormat="1" ht="19.5" customHeight="1" x14ac:dyDescent="0.4">
      <c r="A53" s="115"/>
      <c r="B53" s="115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</row>
    <row r="54" spans="1:21" s="115" customFormat="1" ht="24.75" hidden="1" customHeight="1" x14ac:dyDescent="0.4">
      <c r="B54" s="233"/>
      <c r="C54" s="278" t="s">
        <v>54</v>
      </c>
      <c r="D54" s="278"/>
      <c r="E54" s="278"/>
      <c r="F54" s="278"/>
      <c r="G54" s="278"/>
      <c r="H54" s="118"/>
      <c r="I54" s="233"/>
      <c r="J54" s="233">
        <f>D51+J51+P51-F51-L51-R51</f>
        <v>683.5569999999999</v>
      </c>
      <c r="K54" s="233"/>
      <c r="L54" s="233"/>
      <c r="M54" s="233"/>
      <c r="N54" s="233"/>
      <c r="R54" s="233"/>
      <c r="U54" s="233"/>
    </row>
    <row r="55" spans="1:21" s="115" customFormat="1" ht="30" hidden="1" customHeight="1" x14ac:dyDescent="0.35">
      <c r="B55" s="233"/>
      <c r="C55" s="278" t="s">
        <v>55</v>
      </c>
      <c r="D55" s="278"/>
      <c r="E55" s="278"/>
      <c r="F55" s="278"/>
      <c r="G55" s="278"/>
      <c r="H55" s="119"/>
      <c r="I55" s="233"/>
      <c r="J55" s="233">
        <f>E51+K51+Q51-G51-M51-S51</f>
        <v>1451.422</v>
      </c>
      <c r="K55" s="233"/>
      <c r="L55" s="233"/>
      <c r="M55" s="233"/>
      <c r="N55" s="233"/>
      <c r="R55" s="233"/>
      <c r="T55" s="233"/>
    </row>
    <row r="56" spans="1:21" ht="33" hidden="1" customHeight="1" x14ac:dyDescent="0.5">
      <c r="C56" s="278" t="s">
        <v>56</v>
      </c>
      <c r="D56" s="278"/>
      <c r="E56" s="278"/>
      <c r="F56" s="278"/>
      <c r="G56" s="278"/>
      <c r="H56" s="119"/>
      <c r="I56" s="121"/>
      <c r="J56" s="233">
        <f>H51+N51+T51</f>
        <v>126236.08590000001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33"/>
      <c r="E57" s="233"/>
      <c r="F57" s="233"/>
      <c r="G57" s="233"/>
      <c r="H57" s="119"/>
      <c r="I57" s="121"/>
      <c r="J57" s="233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33"/>
      <c r="E58" s="233"/>
      <c r="F58" s="233"/>
      <c r="G58" s="233"/>
      <c r="H58" s="119"/>
      <c r="I58" s="121"/>
      <c r="J58" s="233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87" t="s">
        <v>57</v>
      </c>
      <c r="C59" s="287"/>
      <c r="D59" s="287"/>
      <c r="E59" s="287"/>
      <c r="F59" s="287"/>
      <c r="G59" s="153"/>
      <c r="H59" s="154"/>
      <c r="I59" s="155"/>
      <c r="J59" s="288"/>
      <c r="K59" s="286"/>
      <c r="L59" s="286"/>
      <c r="M59" s="169" t="e">
        <f>#REF!+'dec-2021'!J54</f>
        <v>#REF!</v>
      </c>
      <c r="N59" s="154"/>
      <c r="O59" s="154"/>
      <c r="P59" s="236"/>
      <c r="Q59" s="287" t="s">
        <v>58</v>
      </c>
      <c r="R59" s="287"/>
      <c r="S59" s="287"/>
      <c r="T59" s="287"/>
      <c r="U59" s="287"/>
    </row>
    <row r="60" spans="1:21" s="152" customFormat="1" ht="37.5" hidden="1" customHeight="1" x14ac:dyDescent="0.45">
      <c r="B60" s="287" t="s">
        <v>59</v>
      </c>
      <c r="C60" s="287"/>
      <c r="D60" s="287"/>
      <c r="E60" s="287"/>
      <c r="F60" s="287"/>
      <c r="G60" s="154"/>
      <c r="H60" s="153"/>
      <c r="I60" s="156"/>
      <c r="J60" s="157"/>
      <c r="K60" s="235"/>
      <c r="L60" s="157"/>
      <c r="M60" s="154"/>
      <c r="N60" s="153"/>
      <c r="O60" s="154"/>
      <c r="P60" s="236"/>
      <c r="Q60" s="287" t="s">
        <v>59</v>
      </c>
      <c r="R60" s="287"/>
      <c r="S60" s="287"/>
      <c r="T60" s="287"/>
      <c r="U60" s="287"/>
    </row>
    <row r="61" spans="1:21" s="152" customFormat="1" ht="37.5" hidden="1" customHeight="1" x14ac:dyDescent="0.45">
      <c r="I61" s="158"/>
      <c r="J61" s="286" t="s">
        <v>61</v>
      </c>
      <c r="K61" s="286"/>
      <c r="L61" s="286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86" t="s">
        <v>62</v>
      </c>
      <c r="K62" s="286"/>
      <c r="L62" s="286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zoomScale="60" zoomScaleNormal="55" workbookViewId="0">
      <selection activeCell="S68" sqref="S68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149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53" t="s">
        <v>122</v>
      </c>
      <c r="B4" s="355" t="s">
        <v>121</v>
      </c>
      <c r="C4" s="358" t="s">
        <v>131</v>
      </c>
      <c r="D4" s="359"/>
      <c r="E4" s="359"/>
      <c r="F4" s="359"/>
      <c r="G4" s="359"/>
      <c r="H4" s="359"/>
      <c r="I4" s="358" t="s">
        <v>146</v>
      </c>
      <c r="J4" s="359"/>
      <c r="K4" s="359"/>
      <c r="L4" s="359"/>
      <c r="M4" s="359"/>
      <c r="N4" s="359"/>
      <c r="O4" s="358" t="s">
        <v>147</v>
      </c>
      <c r="P4" s="359"/>
      <c r="Q4" s="359"/>
      <c r="R4" s="359"/>
      <c r="S4" s="359"/>
      <c r="T4" s="359"/>
      <c r="U4" s="237"/>
    </row>
    <row r="5" spans="1:21" s="108" customFormat="1" ht="54.75" customHeight="1" x14ac:dyDescent="0.25">
      <c r="A5" s="354"/>
      <c r="B5" s="356"/>
      <c r="C5" s="349" t="s">
        <v>6</v>
      </c>
      <c r="D5" s="351" t="s">
        <v>127</v>
      </c>
      <c r="E5" s="352"/>
      <c r="F5" s="351" t="s">
        <v>126</v>
      </c>
      <c r="G5" s="352"/>
      <c r="H5" s="349" t="s">
        <v>9</v>
      </c>
      <c r="I5" s="349" t="s">
        <v>6</v>
      </c>
      <c r="J5" s="351" t="s">
        <v>127</v>
      </c>
      <c r="K5" s="352"/>
      <c r="L5" s="351" t="s">
        <v>126</v>
      </c>
      <c r="M5" s="352"/>
      <c r="N5" s="349" t="s">
        <v>9</v>
      </c>
      <c r="O5" s="349" t="s">
        <v>6</v>
      </c>
      <c r="P5" s="351" t="s">
        <v>127</v>
      </c>
      <c r="Q5" s="352"/>
      <c r="R5" s="351" t="s">
        <v>126</v>
      </c>
      <c r="S5" s="352"/>
      <c r="T5" s="349" t="s">
        <v>9</v>
      </c>
      <c r="U5" s="355" t="s">
        <v>128</v>
      </c>
    </row>
    <row r="6" spans="1:21" s="108" customFormat="1" ht="38.25" customHeight="1" x14ac:dyDescent="0.25">
      <c r="A6" s="354"/>
      <c r="B6" s="357"/>
      <c r="C6" s="350"/>
      <c r="D6" s="231" t="s">
        <v>124</v>
      </c>
      <c r="E6" s="231" t="s">
        <v>125</v>
      </c>
      <c r="F6" s="231" t="s">
        <v>124</v>
      </c>
      <c r="G6" s="231" t="s">
        <v>125</v>
      </c>
      <c r="H6" s="350"/>
      <c r="I6" s="350"/>
      <c r="J6" s="231" t="s">
        <v>124</v>
      </c>
      <c r="K6" s="231" t="s">
        <v>125</v>
      </c>
      <c r="L6" s="231" t="s">
        <v>124</v>
      </c>
      <c r="M6" s="231" t="s">
        <v>125</v>
      </c>
      <c r="N6" s="350"/>
      <c r="O6" s="350"/>
      <c r="P6" s="231" t="s">
        <v>124</v>
      </c>
      <c r="Q6" s="231" t="s">
        <v>125</v>
      </c>
      <c r="R6" s="231" t="s">
        <v>124</v>
      </c>
      <c r="S6" s="231" t="s">
        <v>125</v>
      </c>
      <c r="T6" s="350"/>
      <c r="U6" s="357"/>
    </row>
    <row r="7" spans="1:21" ht="38.25" customHeight="1" x14ac:dyDescent="0.35">
      <c r="A7" s="230">
        <v>1</v>
      </c>
      <c r="B7" s="231" t="s">
        <v>78</v>
      </c>
      <c r="C7" s="139">
        <f>'[6]May 2022'!H7</f>
        <v>90.039999999999978</v>
      </c>
      <c r="D7" s="139">
        <v>0</v>
      </c>
      <c r="E7" s="139">
        <f>'[6]May 2022'!E7+'[6]June 2022'!D7</f>
        <v>0</v>
      </c>
      <c r="F7" s="139">
        <v>0</v>
      </c>
      <c r="G7" s="139">
        <f>'[6]May 2022'!G7+'[6]June 2022'!F7</f>
        <v>0</v>
      </c>
      <c r="H7" s="139">
        <f>C7+D7-F7</f>
        <v>90.039999999999978</v>
      </c>
      <c r="I7" s="139">
        <f>'[6]May 2022'!N7</f>
        <v>587.53899999999987</v>
      </c>
      <c r="J7" s="139">
        <v>2.907</v>
      </c>
      <c r="K7" s="139">
        <f>'[6]May 2022'!K7+'[6]June 2022'!J7</f>
        <v>6.2290000000000001</v>
      </c>
      <c r="L7" s="139">
        <v>0</v>
      </c>
      <c r="M7" s="139">
        <f>'[6]May 2022'!M7+'[6]June 2022'!L7</f>
        <v>0</v>
      </c>
      <c r="N7" s="139">
        <f>I7+J7-L7</f>
        <v>590.44599999999991</v>
      </c>
      <c r="O7" s="139">
        <f>'[6]May 2022'!T7</f>
        <v>8.436000000000007</v>
      </c>
      <c r="P7" s="139">
        <v>0</v>
      </c>
      <c r="Q7" s="139">
        <f>'[6]May 2022'!Q7+'[6]June 2022'!P7</f>
        <v>0</v>
      </c>
      <c r="R7" s="139">
        <v>0</v>
      </c>
      <c r="S7" s="139">
        <f>'[6]May 2022'!S7+'[6]June 2022'!R7</f>
        <v>1.01</v>
      </c>
      <c r="T7" s="139">
        <f>O7+P7-R7</f>
        <v>8.436000000000007</v>
      </c>
      <c r="U7" s="139">
        <f>H7+N7+T7</f>
        <v>688.92199999999991</v>
      </c>
    </row>
    <row r="8" spans="1:21" ht="38.25" customHeight="1" x14ac:dyDescent="0.35">
      <c r="A8" s="230">
        <v>2</v>
      </c>
      <c r="B8" s="231" t="s">
        <v>79</v>
      </c>
      <c r="C8" s="139">
        <f>'[6]May 2022'!H8</f>
        <v>265.39</v>
      </c>
      <c r="D8" s="139">
        <v>0</v>
      </c>
      <c r="E8" s="139">
        <f>'[6]May 2022'!E8+'[6]June 2022'!D8</f>
        <v>0</v>
      </c>
      <c r="F8" s="139">
        <v>0</v>
      </c>
      <c r="G8" s="139">
        <f>'[6]May 2022'!G8+'[6]June 2022'!F8</f>
        <v>0</v>
      </c>
      <c r="H8" s="139">
        <f t="shared" ref="H8:H48" si="0">C8+D8-F8</f>
        <v>265.39</v>
      </c>
      <c r="I8" s="139">
        <f>'[6]May 2022'!N8</f>
        <v>314.875</v>
      </c>
      <c r="J8" s="139">
        <v>11.23</v>
      </c>
      <c r="K8" s="139">
        <f>'[6]May 2022'!K8+'[6]June 2022'!J8</f>
        <v>14.125</v>
      </c>
      <c r="L8" s="139">
        <v>0</v>
      </c>
      <c r="M8" s="139">
        <f>'[6]May 2022'!M8+'[6]June 2022'!L8</f>
        <v>0</v>
      </c>
      <c r="N8" s="139">
        <f t="shared" ref="N8:N48" si="1">I8+J8-L8</f>
        <v>326.10500000000002</v>
      </c>
      <c r="O8" s="139">
        <f>'[6]May 2022'!T8</f>
        <v>66.290000000000006</v>
      </c>
      <c r="P8" s="139">
        <v>0</v>
      </c>
      <c r="Q8" s="139">
        <f>'[6]May 2022'!Q8+'[6]June 2022'!P8</f>
        <v>0</v>
      </c>
      <c r="R8" s="139">
        <v>0</v>
      </c>
      <c r="S8" s="139">
        <f>'[6]May 2022'!S8+'[6]June 2022'!R8</f>
        <v>0</v>
      </c>
      <c r="T8" s="139">
        <f t="shared" ref="T8:T48" si="2">O8+P8-R8</f>
        <v>66.290000000000006</v>
      </c>
      <c r="U8" s="139">
        <f t="shared" ref="U8:U48" si="3">H8+N8+T8</f>
        <v>657.78499999999997</v>
      </c>
    </row>
    <row r="9" spans="1:21" ht="38.25" customHeight="1" x14ac:dyDescent="0.35">
      <c r="A9" s="230">
        <v>3</v>
      </c>
      <c r="B9" s="231" t="s">
        <v>80</v>
      </c>
      <c r="C9" s="139">
        <f>'[6]May 2022'!H9</f>
        <v>209.16</v>
      </c>
      <c r="D9" s="139">
        <v>0</v>
      </c>
      <c r="E9" s="139">
        <f>'[6]May 2022'!E9+'[6]June 2022'!D9</f>
        <v>0</v>
      </c>
      <c r="F9" s="139">
        <v>0</v>
      </c>
      <c r="G9" s="139">
        <f>'[6]May 2022'!G9+'[6]June 2022'!F9</f>
        <v>0</v>
      </c>
      <c r="H9" s="139">
        <f t="shared" si="0"/>
        <v>209.16</v>
      </c>
      <c r="I9" s="139">
        <f>'[6]May 2022'!N9</f>
        <v>740.84800000000007</v>
      </c>
      <c r="J9" s="139">
        <v>1.58</v>
      </c>
      <c r="K9" s="139">
        <f>'[6]May 2022'!K9+'[6]June 2022'!J9</f>
        <v>41.399999999999991</v>
      </c>
      <c r="L9" s="139">
        <v>0</v>
      </c>
      <c r="M9" s="139">
        <f>'[6]May 2022'!M9+'[6]June 2022'!L9</f>
        <v>0</v>
      </c>
      <c r="N9" s="139">
        <f t="shared" si="1"/>
        <v>742.42800000000011</v>
      </c>
      <c r="O9" s="139">
        <f>'[6]May 2022'!T9</f>
        <v>44.739999999999995</v>
      </c>
      <c r="P9" s="139">
        <v>0</v>
      </c>
      <c r="Q9" s="139">
        <f>'[6]May 2022'!Q9+'[6]June 2022'!P9</f>
        <v>0</v>
      </c>
      <c r="R9" s="139">
        <v>0</v>
      </c>
      <c r="S9" s="139">
        <f>'[6]May 2022'!S9+'[6]June 2022'!R9</f>
        <v>0</v>
      </c>
      <c r="T9" s="139">
        <f t="shared" si="2"/>
        <v>44.739999999999995</v>
      </c>
      <c r="U9" s="139">
        <f t="shared" si="3"/>
        <v>996.32800000000009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f>'[6]May 2022'!H10</f>
        <v>0</v>
      </c>
      <c r="D10" s="139">
        <v>0</v>
      </c>
      <c r="E10" s="139">
        <f>'[6]May 2022'!E10+'[6]June 2022'!D10</f>
        <v>0</v>
      </c>
      <c r="F10" s="139">
        <v>0</v>
      </c>
      <c r="G10" s="139">
        <f>'[6]May 2022'!G10+'[6]June 2022'!F10</f>
        <v>0</v>
      </c>
      <c r="H10" s="139">
        <f t="shared" si="0"/>
        <v>0</v>
      </c>
      <c r="I10" s="139">
        <f>'[6]May 2022'!N10</f>
        <v>344.49999999999994</v>
      </c>
      <c r="J10" s="139">
        <v>2.59</v>
      </c>
      <c r="K10" s="139">
        <f>'[6]May 2022'!K10+'[6]June 2022'!J10</f>
        <v>4.7149999999999999</v>
      </c>
      <c r="L10" s="139">
        <v>0</v>
      </c>
      <c r="M10" s="139">
        <f>'[6]May 2022'!M10+'[6]June 2022'!L10</f>
        <v>0</v>
      </c>
      <c r="N10" s="139">
        <f t="shared" si="1"/>
        <v>347.08999999999992</v>
      </c>
      <c r="O10" s="139">
        <f>'[6]May 2022'!T10</f>
        <v>0.20000000000000007</v>
      </c>
      <c r="P10" s="139">
        <v>0</v>
      </c>
      <c r="Q10" s="139">
        <f>'[6]May 2022'!Q10+'[6]June 2022'!P10</f>
        <v>0</v>
      </c>
      <c r="R10" s="139">
        <v>0</v>
      </c>
      <c r="S10" s="139">
        <f>'[6]May 2022'!S10+'[6]June 2022'!R10</f>
        <v>0</v>
      </c>
      <c r="T10" s="139">
        <f t="shared" si="2"/>
        <v>0.20000000000000007</v>
      </c>
      <c r="U10" s="139">
        <f t="shared" si="3"/>
        <v>347.28999999999991</v>
      </c>
    </row>
    <row r="11" spans="1:21" s="111" customFormat="1" ht="38.25" customHeight="1" x14ac:dyDescent="0.4">
      <c r="A11" s="308" t="s">
        <v>82</v>
      </c>
      <c r="B11" s="309"/>
      <c r="C11" s="141">
        <f>SUM(C7:C10)</f>
        <v>564.58999999999992</v>
      </c>
      <c r="D11" s="141">
        <f t="shared" ref="D11:U11" si="4">SUM(D7:D10)</f>
        <v>0</v>
      </c>
      <c r="E11" s="141">
        <f t="shared" si="4"/>
        <v>0</v>
      </c>
      <c r="F11" s="141">
        <f t="shared" si="4"/>
        <v>0</v>
      </c>
      <c r="G11" s="141">
        <f t="shared" si="4"/>
        <v>0</v>
      </c>
      <c r="H11" s="141">
        <f t="shared" si="4"/>
        <v>564.58999999999992</v>
      </c>
      <c r="I11" s="141">
        <f t="shared" si="4"/>
        <v>1987.7619999999999</v>
      </c>
      <c r="J11" s="141">
        <f t="shared" si="4"/>
        <v>18.307000000000002</v>
      </c>
      <c r="K11" s="141">
        <f t="shared" si="4"/>
        <v>66.468999999999994</v>
      </c>
      <c r="L11" s="141">
        <f t="shared" si="4"/>
        <v>0</v>
      </c>
      <c r="M11" s="141">
        <f t="shared" si="4"/>
        <v>0</v>
      </c>
      <c r="N11" s="141">
        <f t="shared" si="4"/>
        <v>2006.069</v>
      </c>
      <c r="O11" s="141">
        <f t="shared" si="4"/>
        <v>119.66600000000001</v>
      </c>
      <c r="P11" s="141">
        <f t="shared" si="4"/>
        <v>0</v>
      </c>
      <c r="Q11" s="141">
        <f t="shared" si="4"/>
        <v>0</v>
      </c>
      <c r="R11" s="141">
        <f t="shared" si="4"/>
        <v>0</v>
      </c>
      <c r="S11" s="141">
        <f t="shared" si="4"/>
        <v>1.01</v>
      </c>
      <c r="T11" s="141">
        <f t="shared" si="4"/>
        <v>119.66600000000001</v>
      </c>
      <c r="U11" s="141">
        <f t="shared" si="4"/>
        <v>2690.3249999999998</v>
      </c>
    </row>
    <row r="12" spans="1:21" ht="38.25" customHeight="1" x14ac:dyDescent="0.35">
      <c r="A12" s="171">
        <v>4</v>
      </c>
      <c r="B12" s="231" t="s">
        <v>83</v>
      </c>
      <c r="C12" s="139">
        <f>'[6]May 2022'!H12</f>
        <v>355.3099999999996</v>
      </c>
      <c r="D12" s="139">
        <v>0</v>
      </c>
      <c r="E12" s="139">
        <f>'[6]May 2022'!E12+'[6]June 2022'!D12</f>
        <v>0</v>
      </c>
      <c r="F12" s="139">
        <v>0</v>
      </c>
      <c r="G12" s="139">
        <f>'[6]May 2022'!G12+'[6]June 2022'!F12</f>
        <v>0</v>
      </c>
      <c r="H12" s="139">
        <f t="shared" si="0"/>
        <v>355.3099999999996</v>
      </c>
      <c r="I12" s="139">
        <f>'[6]May 2022'!N12</f>
        <v>851.06499999999994</v>
      </c>
      <c r="J12" s="221">
        <v>0.66</v>
      </c>
      <c r="K12" s="139">
        <f>'[6]May 2022'!K12+'[6]June 2022'!J12</f>
        <v>47.019999999999996</v>
      </c>
      <c r="L12" s="139">
        <v>0</v>
      </c>
      <c r="M12" s="139">
        <f>'[6]May 2022'!M12+'[6]June 2022'!L12</f>
        <v>0</v>
      </c>
      <c r="N12" s="139">
        <f t="shared" si="1"/>
        <v>851.72499999999991</v>
      </c>
      <c r="O12" s="139">
        <f>'[6]May 2022'!T12</f>
        <v>36.850000000000009</v>
      </c>
      <c r="P12" s="139">
        <v>0</v>
      </c>
      <c r="Q12" s="139">
        <f>'[6]May 2022'!Q12+'[6]June 2022'!P12</f>
        <v>0</v>
      </c>
      <c r="R12" s="139">
        <v>0</v>
      </c>
      <c r="S12" s="139">
        <f>'[6]May 2022'!S12+'[6]June 2022'!R12</f>
        <v>0</v>
      </c>
      <c r="T12" s="139">
        <f t="shared" si="2"/>
        <v>36.850000000000009</v>
      </c>
      <c r="U12" s="139">
        <f t="shared" si="3"/>
        <v>1243.8849999999993</v>
      </c>
    </row>
    <row r="13" spans="1:21" ht="38.25" customHeight="1" x14ac:dyDescent="0.35">
      <c r="A13" s="171">
        <v>5</v>
      </c>
      <c r="B13" s="231" t="s">
        <v>84</v>
      </c>
      <c r="C13" s="139">
        <f>'[6]May 2022'!H13</f>
        <v>312.23000000000013</v>
      </c>
      <c r="D13" s="139">
        <v>0</v>
      </c>
      <c r="E13" s="139">
        <f>'[6]May 2022'!E13+'[6]June 2022'!D13</f>
        <v>0</v>
      </c>
      <c r="F13" s="139">
        <v>0</v>
      </c>
      <c r="G13" s="139">
        <f>'[6]May 2022'!G13+'[6]June 2022'!F13</f>
        <v>0</v>
      </c>
      <c r="H13" s="139">
        <f t="shared" si="0"/>
        <v>312.23000000000013</v>
      </c>
      <c r="I13" s="139">
        <f>'[6]May 2022'!N13</f>
        <v>530.94200000000023</v>
      </c>
      <c r="J13" s="221">
        <v>0.7</v>
      </c>
      <c r="K13" s="139">
        <f>'[6]May 2022'!K13+'[6]June 2022'!J13</f>
        <v>3.1100000000000003</v>
      </c>
      <c r="L13" s="139">
        <v>0</v>
      </c>
      <c r="M13" s="139">
        <f>'[6]May 2022'!M13+'[6]June 2022'!L13</f>
        <v>0</v>
      </c>
      <c r="N13" s="139">
        <f t="shared" si="1"/>
        <v>531.64200000000028</v>
      </c>
      <c r="O13" s="139">
        <f>'[6]May 2022'!T13</f>
        <v>68.39</v>
      </c>
      <c r="P13" s="139">
        <v>0</v>
      </c>
      <c r="Q13" s="139">
        <f>'[6]May 2022'!Q13+'[6]June 2022'!P13</f>
        <v>0</v>
      </c>
      <c r="R13" s="139">
        <v>0</v>
      </c>
      <c r="S13" s="139">
        <f>'[6]May 2022'!S13+'[6]June 2022'!R13</f>
        <v>0</v>
      </c>
      <c r="T13" s="139">
        <f t="shared" si="2"/>
        <v>68.39</v>
      </c>
      <c r="U13" s="139">
        <f t="shared" si="3"/>
        <v>912.2620000000004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f>'[6]May 2022'!H14</f>
        <v>1216.4399999999994</v>
      </c>
      <c r="D14" s="139">
        <v>0</v>
      </c>
      <c r="E14" s="139">
        <f>'[6]May 2022'!E14+'[6]June 2022'!D14</f>
        <v>0</v>
      </c>
      <c r="F14" s="139">
        <v>0</v>
      </c>
      <c r="G14" s="139">
        <f>'[6]May 2022'!G14+'[6]June 2022'!F14</f>
        <v>0</v>
      </c>
      <c r="H14" s="139">
        <f t="shared" si="0"/>
        <v>1216.4399999999994</v>
      </c>
      <c r="I14" s="139">
        <f>'[6]May 2022'!N14</f>
        <v>872.34800000000018</v>
      </c>
      <c r="J14" s="221">
        <v>1.95</v>
      </c>
      <c r="K14" s="139">
        <f>'[6]May 2022'!K14+'[6]June 2022'!J14</f>
        <v>9.51</v>
      </c>
      <c r="L14" s="139">
        <v>0</v>
      </c>
      <c r="M14" s="139">
        <f>'[6]May 2022'!M14+'[6]June 2022'!L14</f>
        <v>0</v>
      </c>
      <c r="N14" s="139">
        <f t="shared" si="1"/>
        <v>874.29800000000023</v>
      </c>
      <c r="O14" s="139">
        <f>'[6]May 2022'!T14</f>
        <v>61.329999999999991</v>
      </c>
      <c r="P14" s="139">
        <v>0</v>
      </c>
      <c r="Q14" s="139">
        <f>'[6]May 2022'!Q14+'[6]June 2022'!P14</f>
        <v>0</v>
      </c>
      <c r="R14" s="139">
        <v>0</v>
      </c>
      <c r="S14" s="139">
        <f>'[6]May 2022'!S14+'[6]June 2022'!R14</f>
        <v>0</v>
      </c>
      <c r="T14" s="139">
        <f t="shared" si="2"/>
        <v>61.329999999999991</v>
      </c>
      <c r="U14" s="139">
        <f t="shared" si="3"/>
        <v>2152.0679999999993</v>
      </c>
    </row>
    <row r="15" spans="1:21" s="111" customFormat="1" ht="38.25" customHeight="1" x14ac:dyDescent="0.4">
      <c r="A15" s="308" t="s">
        <v>86</v>
      </c>
      <c r="B15" s="309"/>
      <c r="C15" s="141">
        <f>SUM(C12:C14)</f>
        <v>1883.9799999999991</v>
      </c>
      <c r="D15" s="141">
        <f t="shared" ref="D15:U15" si="5">SUM(D12:D14)</f>
        <v>0</v>
      </c>
      <c r="E15" s="141">
        <f t="shared" si="5"/>
        <v>0</v>
      </c>
      <c r="F15" s="141">
        <f t="shared" si="5"/>
        <v>0</v>
      </c>
      <c r="G15" s="141">
        <f t="shared" si="5"/>
        <v>0</v>
      </c>
      <c r="H15" s="141">
        <f t="shared" si="5"/>
        <v>1883.9799999999991</v>
      </c>
      <c r="I15" s="141">
        <f t="shared" si="5"/>
        <v>2254.3550000000005</v>
      </c>
      <c r="J15" s="141">
        <f t="shared" si="5"/>
        <v>3.3099999999999996</v>
      </c>
      <c r="K15" s="141">
        <f t="shared" si="5"/>
        <v>59.639999999999993</v>
      </c>
      <c r="L15" s="141">
        <f t="shared" si="5"/>
        <v>0</v>
      </c>
      <c r="M15" s="141">
        <f t="shared" si="5"/>
        <v>0</v>
      </c>
      <c r="N15" s="141">
        <f t="shared" si="5"/>
        <v>2257.6650000000004</v>
      </c>
      <c r="O15" s="141">
        <f t="shared" si="5"/>
        <v>166.57</v>
      </c>
      <c r="P15" s="141">
        <f t="shared" si="5"/>
        <v>0</v>
      </c>
      <c r="Q15" s="141">
        <f t="shared" si="5"/>
        <v>0</v>
      </c>
      <c r="R15" s="141">
        <f t="shared" si="5"/>
        <v>0</v>
      </c>
      <c r="S15" s="141">
        <f t="shared" si="5"/>
        <v>0</v>
      </c>
      <c r="T15" s="141">
        <f t="shared" si="5"/>
        <v>166.57</v>
      </c>
      <c r="U15" s="141">
        <f t="shared" si="5"/>
        <v>4308.2149999999992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f>'[6]May 2022'!H16</f>
        <v>994.39400000000035</v>
      </c>
      <c r="D16" s="139">
        <v>0.66</v>
      </c>
      <c r="E16" s="139">
        <f>'[6]May 2022'!E16+'[6]June 2022'!D16</f>
        <v>1.21</v>
      </c>
      <c r="F16" s="139">
        <v>7.75</v>
      </c>
      <c r="G16" s="139">
        <f>'[6]May 2022'!G16+'[6]June 2022'!F16</f>
        <v>7.75</v>
      </c>
      <c r="H16" s="139">
        <f t="shared" si="0"/>
        <v>987.30400000000031</v>
      </c>
      <c r="I16" s="139">
        <f>'[6]May 2022'!N16</f>
        <v>326.92599999999999</v>
      </c>
      <c r="J16" s="139">
        <f>2.57+22.27</f>
        <v>24.84</v>
      </c>
      <c r="K16" s="139">
        <f>'[6]May 2022'!K16+'[6]June 2022'!J16</f>
        <v>52.72</v>
      </c>
      <c r="L16" s="139">
        <v>0</v>
      </c>
      <c r="M16" s="139">
        <f>'[6]May 2022'!M16+'[6]June 2022'!L16</f>
        <v>0</v>
      </c>
      <c r="N16" s="139">
        <f t="shared" si="1"/>
        <v>351.76599999999996</v>
      </c>
      <c r="O16" s="139">
        <f>'[6]May 2022'!T16</f>
        <v>177.41200000000003</v>
      </c>
      <c r="P16" s="139">
        <v>0</v>
      </c>
      <c r="Q16" s="139">
        <f>'[6]May 2022'!Q16+'[6]June 2022'!P16</f>
        <v>0</v>
      </c>
      <c r="R16" s="139">
        <v>0</v>
      </c>
      <c r="S16" s="139">
        <f>'[6]May 2022'!S16+'[6]June 2022'!R16</f>
        <v>0</v>
      </c>
      <c r="T16" s="139">
        <f t="shared" si="2"/>
        <v>177.41200000000003</v>
      </c>
      <c r="U16" s="139">
        <f t="shared" si="3"/>
        <v>1516.4820000000002</v>
      </c>
    </row>
    <row r="17" spans="1:21" ht="38.25" customHeight="1" x14ac:dyDescent="0.35">
      <c r="A17" s="171">
        <v>9</v>
      </c>
      <c r="B17" s="231" t="s">
        <v>120</v>
      </c>
      <c r="C17" s="139">
        <f>'[6]May 2022'!H17</f>
        <v>6.415999999999948</v>
      </c>
      <c r="D17" s="139">
        <v>0</v>
      </c>
      <c r="E17" s="139">
        <f>'[6]May 2022'!E17+'[6]June 2022'!D17</f>
        <v>0</v>
      </c>
      <c r="F17" s="139">
        <v>3.74</v>
      </c>
      <c r="G17" s="139">
        <f>'[6]May 2022'!G17+'[6]June 2022'!F17</f>
        <v>3.74</v>
      </c>
      <c r="H17" s="139">
        <f t="shared" si="0"/>
        <v>2.6759999999999478</v>
      </c>
      <c r="I17" s="139">
        <f>'[6]May 2022'!N17</f>
        <v>522.74000000000012</v>
      </c>
      <c r="J17" s="139">
        <f>16.68+22.67</f>
        <v>39.35</v>
      </c>
      <c r="K17" s="139">
        <f>'[6]May 2022'!K17+'[6]June 2022'!J17</f>
        <v>50.34</v>
      </c>
      <c r="L17" s="139">
        <v>0</v>
      </c>
      <c r="M17" s="139">
        <f>'[6]May 2022'!M17+'[6]June 2022'!L17</f>
        <v>0</v>
      </c>
      <c r="N17" s="139">
        <f t="shared" si="1"/>
        <v>562.09000000000015</v>
      </c>
      <c r="O17" s="139">
        <f>'[6]May 2022'!T17</f>
        <v>6.33</v>
      </c>
      <c r="P17" s="139">
        <v>0.61</v>
      </c>
      <c r="Q17" s="139">
        <f>'[6]May 2022'!Q17+'[6]June 2022'!P17</f>
        <v>0.61</v>
      </c>
      <c r="R17" s="139">
        <v>5.7</v>
      </c>
      <c r="S17" s="139">
        <f>'[6]May 2022'!S17+'[6]June 2022'!R17</f>
        <v>5.7</v>
      </c>
      <c r="T17" s="139">
        <f t="shared" si="2"/>
        <v>1.2400000000000002</v>
      </c>
      <c r="U17" s="139">
        <f t="shared" si="3"/>
        <v>566.00600000000009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f>'[6]May 2022'!H18+59.79</f>
        <v>136.0160000000001</v>
      </c>
      <c r="D18" s="139">
        <v>0</v>
      </c>
      <c r="E18" s="139">
        <f>'[6]May 2022'!E18+'[6]June 2022'!D18</f>
        <v>0.24</v>
      </c>
      <c r="F18" s="139">
        <v>0</v>
      </c>
      <c r="G18" s="139">
        <f>'[6]May 2022'!G18+'[6]June 2022'!F18</f>
        <v>0</v>
      </c>
      <c r="H18" s="139">
        <f t="shared" si="0"/>
        <v>136.0160000000001</v>
      </c>
      <c r="I18" s="139">
        <f>'[6]May 2022'!N18</f>
        <v>486.60699999999997</v>
      </c>
      <c r="J18" s="139">
        <v>1.65</v>
      </c>
      <c r="K18" s="139">
        <f>'[6]May 2022'!K18+'[6]June 2022'!J18</f>
        <v>2.7199999999999998</v>
      </c>
      <c r="L18" s="139">
        <v>0</v>
      </c>
      <c r="M18" s="139">
        <f>'[6]May 2022'!M18+'[6]June 2022'!L18</f>
        <v>0</v>
      </c>
      <c r="N18" s="139">
        <f t="shared" si="1"/>
        <v>488.25699999999995</v>
      </c>
      <c r="O18" s="139">
        <f>'[6]May 2022'!T18</f>
        <v>38.869999999999997</v>
      </c>
      <c r="P18" s="139">
        <v>0</v>
      </c>
      <c r="Q18" s="139">
        <f>'[6]May 2022'!Q18+'[6]June 2022'!P18</f>
        <v>0</v>
      </c>
      <c r="R18" s="139">
        <v>0</v>
      </c>
      <c r="S18" s="139">
        <f>'[6]May 2022'!S18+'[6]June 2022'!R18</f>
        <v>0</v>
      </c>
      <c r="T18" s="139">
        <f t="shared" si="2"/>
        <v>38.869999999999997</v>
      </c>
      <c r="U18" s="139">
        <f t="shared" si="3"/>
        <v>663.14300000000003</v>
      </c>
    </row>
    <row r="19" spans="1:21" s="111" customFormat="1" ht="38.25" customHeight="1" x14ac:dyDescent="0.4">
      <c r="A19" s="308" t="s">
        <v>89</v>
      </c>
      <c r="B19" s="309"/>
      <c r="C19" s="141">
        <f>SUM(C16:C18)</f>
        <v>1136.8260000000005</v>
      </c>
      <c r="D19" s="141">
        <f t="shared" ref="D19:U19" si="6">SUM(D16:D18)</f>
        <v>0.66</v>
      </c>
      <c r="E19" s="141">
        <f t="shared" si="6"/>
        <v>1.45</v>
      </c>
      <c r="F19" s="141">
        <f t="shared" si="6"/>
        <v>11.49</v>
      </c>
      <c r="G19" s="141">
        <f t="shared" si="6"/>
        <v>11.49</v>
      </c>
      <c r="H19" s="141">
        <f t="shared" si="6"/>
        <v>1125.9960000000003</v>
      </c>
      <c r="I19" s="141">
        <f t="shared" si="6"/>
        <v>1336.2730000000001</v>
      </c>
      <c r="J19" s="141">
        <f t="shared" si="6"/>
        <v>65.84</v>
      </c>
      <c r="K19" s="141">
        <f t="shared" si="6"/>
        <v>105.78</v>
      </c>
      <c r="L19" s="141">
        <f t="shared" si="6"/>
        <v>0</v>
      </c>
      <c r="M19" s="141">
        <f t="shared" si="6"/>
        <v>0</v>
      </c>
      <c r="N19" s="141">
        <f t="shared" si="6"/>
        <v>1402.1130000000001</v>
      </c>
      <c r="O19" s="141">
        <f t="shared" si="6"/>
        <v>222.61200000000005</v>
      </c>
      <c r="P19" s="141">
        <f t="shared" si="6"/>
        <v>0.61</v>
      </c>
      <c r="Q19" s="141">
        <f t="shared" si="6"/>
        <v>0.61</v>
      </c>
      <c r="R19" s="141">
        <f t="shared" si="6"/>
        <v>5.7</v>
      </c>
      <c r="S19" s="141">
        <f t="shared" si="6"/>
        <v>5.7</v>
      </c>
      <c r="T19" s="141">
        <f t="shared" si="6"/>
        <v>217.52200000000005</v>
      </c>
      <c r="U19" s="141">
        <f t="shared" si="6"/>
        <v>2745.6310000000003</v>
      </c>
    </row>
    <row r="20" spans="1:21" ht="38.25" customHeight="1" x14ac:dyDescent="0.35">
      <c r="A20" s="171">
        <v>8</v>
      </c>
      <c r="B20" s="231" t="s">
        <v>91</v>
      </c>
      <c r="C20" s="139">
        <f>'[6]May 2022'!H20</f>
        <v>631.68999999999983</v>
      </c>
      <c r="D20" s="139">
        <v>0.23</v>
      </c>
      <c r="E20" s="139">
        <f>'[6]May 2022'!E20+'[6]June 2022'!D20</f>
        <v>1.35</v>
      </c>
      <c r="F20" s="139">
        <v>24.91</v>
      </c>
      <c r="G20" s="139">
        <f>'[6]May 2022'!G20+'[6]June 2022'!F20</f>
        <v>24.91</v>
      </c>
      <c r="H20" s="139">
        <f t="shared" si="0"/>
        <v>607.00999999999988</v>
      </c>
      <c r="I20" s="139">
        <f>'[6]May 2022'!N20</f>
        <v>402.06800000000015</v>
      </c>
      <c r="J20" s="139">
        <v>317.45</v>
      </c>
      <c r="K20" s="139">
        <f>'[6]May 2022'!K20+'[6]June 2022'!J20</f>
        <v>321.37</v>
      </c>
      <c r="L20" s="139">
        <v>0</v>
      </c>
      <c r="M20" s="139">
        <f>'[6]May 2022'!M20+'[6]June 2022'!L20</f>
        <v>1.04</v>
      </c>
      <c r="N20" s="139">
        <f t="shared" si="1"/>
        <v>719.51800000000014</v>
      </c>
      <c r="O20" s="139">
        <f>'[6]May 2022'!T20</f>
        <v>40.350000000000009</v>
      </c>
      <c r="P20" s="139">
        <v>0</v>
      </c>
      <c r="Q20" s="139">
        <f>'[6]May 2022'!Q20+'[6]June 2022'!P20</f>
        <v>0</v>
      </c>
      <c r="R20" s="139">
        <v>2.77</v>
      </c>
      <c r="S20" s="139">
        <f>'[6]May 2022'!S20+'[6]June 2022'!R20</f>
        <v>2.77</v>
      </c>
      <c r="T20" s="139">
        <f t="shared" si="2"/>
        <v>37.580000000000005</v>
      </c>
      <c r="U20" s="139">
        <f t="shared" si="3"/>
        <v>1364.1079999999999</v>
      </c>
    </row>
    <row r="21" spans="1:21" ht="38.25" customHeight="1" x14ac:dyDescent="0.35">
      <c r="A21" s="171">
        <v>9</v>
      </c>
      <c r="B21" s="231" t="s">
        <v>90</v>
      </c>
      <c r="C21" s="139">
        <f>'[6]May 2022'!H21</f>
        <v>22.51</v>
      </c>
      <c r="D21" s="139">
        <v>0</v>
      </c>
      <c r="E21" s="139">
        <f>'[6]May 2022'!E21+'[6]June 2022'!D21</f>
        <v>0</v>
      </c>
      <c r="F21" s="139">
        <v>0</v>
      </c>
      <c r="G21" s="139">
        <f>'[6]May 2022'!G21+'[6]June 2022'!F21</f>
        <v>0</v>
      </c>
      <c r="H21" s="139">
        <f t="shared" si="0"/>
        <v>22.51</v>
      </c>
      <c r="I21" s="139">
        <f>'[6]May 2022'!N21</f>
        <v>415.74700000000001</v>
      </c>
      <c r="J21" s="139">
        <v>1.19</v>
      </c>
      <c r="K21" s="139">
        <f>'[6]May 2022'!K21+'[6]June 2022'!J21</f>
        <v>18.82</v>
      </c>
      <c r="L21" s="139">
        <v>0</v>
      </c>
      <c r="M21" s="139">
        <f>'[6]May 2022'!M21+'[6]June 2022'!L21</f>
        <v>0</v>
      </c>
      <c r="N21" s="139">
        <f t="shared" si="1"/>
        <v>416.93700000000001</v>
      </c>
      <c r="O21" s="139">
        <f>'[6]May 2022'!T21</f>
        <v>19.369999999999997</v>
      </c>
      <c r="P21" s="139">
        <v>0</v>
      </c>
      <c r="Q21" s="139">
        <f>'[6]May 2022'!Q21+'[6]June 2022'!P21</f>
        <v>0</v>
      </c>
      <c r="R21" s="139">
        <v>0</v>
      </c>
      <c r="S21" s="139">
        <f>'[6]May 2022'!S21+'[6]June 2022'!R21</f>
        <v>0</v>
      </c>
      <c r="T21" s="139">
        <f t="shared" si="2"/>
        <v>19.369999999999997</v>
      </c>
      <c r="U21" s="139">
        <f t="shared" si="3"/>
        <v>458.81700000000001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f>'[6]May 2022'!H22</f>
        <v>22.430000000000021</v>
      </c>
      <c r="D22" s="139">
        <v>0</v>
      </c>
      <c r="E22" s="139">
        <f>'[6]May 2022'!E22+'[6]June 2022'!D22</f>
        <v>0</v>
      </c>
      <c r="F22" s="139">
        <v>0</v>
      </c>
      <c r="G22" s="139">
        <f>'[6]May 2022'!G22+'[6]June 2022'!F22</f>
        <v>0</v>
      </c>
      <c r="H22" s="139">
        <f t="shared" si="0"/>
        <v>22.430000000000021</v>
      </c>
      <c r="I22" s="139">
        <f>'[6]May 2022'!N22</f>
        <v>690.59999999999991</v>
      </c>
      <c r="J22" s="139">
        <v>1.19</v>
      </c>
      <c r="K22" s="139">
        <f>'[6]May 2022'!K22+'[6]June 2022'!J22</f>
        <v>2.9</v>
      </c>
      <c r="L22" s="139">
        <v>0</v>
      </c>
      <c r="M22" s="139">
        <f>'[6]May 2022'!M22+'[6]June 2022'!L22</f>
        <v>0.08</v>
      </c>
      <c r="N22" s="139">
        <f t="shared" si="1"/>
        <v>691.79</v>
      </c>
      <c r="O22" s="139">
        <f>'[6]May 2022'!T22</f>
        <v>0.60000000000000098</v>
      </c>
      <c r="P22" s="139">
        <v>0</v>
      </c>
      <c r="Q22" s="139">
        <f>'[6]May 2022'!Q22+'[6]June 2022'!P22</f>
        <v>0</v>
      </c>
      <c r="R22" s="139">
        <v>0</v>
      </c>
      <c r="S22" s="139">
        <f>'[6]May 2022'!S22+'[6]June 2022'!R22</f>
        <v>0</v>
      </c>
      <c r="T22" s="139">
        <f t="shared" si="2"/>
        <v>0.60000000000000098</v>
      </c>
      <c r="U22" s="139">
        <f t="shared" si="3"/>
        <v>714.82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f>'[6]May 2022'!H23</f>
        <v>430.64</v>
      </c>
      <c r="D23" s="139">
        <v>0</v>
      </c>
      <c r="E23" s="139">
        <f>'[6]May 2022'!E23+'[6]June 2022'!D23</f>
        <v>3.4</v>
      </c>
      <c r="F23" s="139">
        <v>0</v>
      </c>
      <c r="G23" s="139">
        <f>'[6]May 2022'!G23+'[6]June 2022'!F23</f>
        <v>0</v>
      </c>
      <c r="H23" s="139">
        <f t="shared" si="0"/>
        <v>430.64</v>
      </c>
      <c r="I23" s="139">
        <f>'[6]May 2022'!N23</f>
        <v>117.395</v>
      </c>
      <c r="J23" s="139">
        <v>1.47</v>
      </c>
      <c r="K23" s="139">
        <f>'[6]May 2022'!K23+'[6]June 2022'!J23</f>
        <v>16.98</v>
      </c>
      <c r="L23" s="139">
        <v>0</v>
      </c>
      <c r="M23" s="139">
        <f>'[6]May 2022'!M23+'[6]June 2022'!L23</f>
        <v>0</v>
      </c>
      <c r="N23" s="139">
        <f t="shared" si="1"/>
        <v>118.86499999999999</v>
      </c>
      <c r="O23" s="139">
        <f>'[6]May 2022'!T23</f>
        <v>22.5</v>
      </c>
      <c r="P23" s="139">
        <v>0</v>
      </c>
      <c r="Q23" s="139">
        <f>'[6]May 2022'!Q23+'[6]June 2022'!P23</f>
        <v>0</v>
      </c>
      <c r="R23" s="139">
        <v>0</v>
      </c>
      <c r="S23" s="139">
        <f>'[6]May 2022'!S23+'[6]June 2022'!R23</f>
        <v>0</v>
      </c>
      <c r="T23" s="139">
        <f t="shared" si="2"/>
        <v>22.5</v>
      </c>
      <c r="U23" s="139">
        <f t="shared" si="3"/>
        <v>572.005</v>
      </c>
    </row>
    <row r="24" spans="1:21" s="111" customFormat="1" ht="38.25" customHeight="1" x14ac:dyDescent="0.4">
      <c r="A24" s="313" t="s">
        <v>94</v>
      </c>
      <c r="B24" s="313"/>
      <c r="C24" s="141">
        <f>SUM(C20:C23)</f>
        <v>1107.27</v>
      </c>
      <c r="D24" s="141">
        <f t="shared" ref="D24:U24" si="7">SUM(D20:D23)</f>
        <v>0.23</v>
      </c>
      <c r="E24" s="141">
        <f t="shared" si="7"/>
        <v>4.75</v>
      </c>
      <c r="F24" s="141">
        <f t="shared" si="7"/>
        <v>24.91</v>
      </c>
      <c r="G24" s="141">
        <f t="shared" si="7"/>
        <v>24.91</v>
      </c>
      <c r="H24" s="141">
        <f t="shared" si="7"/>
        <v>1082.5899999999999</v>
      </c>
      <c r="I24" s="141">
        <f t="shared" si="7"/>
        <v>1625.81</v>
      </c>
      <c r="J24" s="141">
        <f t="shared" si="7"/>
        <v>321.3</v>
      </c>
      <c r="K24" s="141">
        <f t="shared" si="7"/>
        <v>360.07</v>
      </c>
      <c r="L24" s="141">
        <f t="shared" si="7"/>
        <v>0</v>
      </c>
      <c r="M24" s="141">
        <f t="shared" si="7"/>
        <v>1.1200000000000001</v>
      </c>
      <c r="N24" s="141">
        <f t="shared" si="7"/>
        <v>1947.1100000000001</v>
      </c>
      <c r="O24" s="141">
        <f t="shared" si="7"/>
        <v>82.820000000000007</v>
      </c>
      <c r="P24" s="141">
        <f t="shared" si="7"/>
        <v>0</v>
      </c>
      <c r="Q24" s="141">
        <f t="shared" si="7"/>
        <v>0</v>
      </c>
      <c r="R24" s="141">
        <f t="shared" si="7"/>
        <v>2.77</v>
      </c>
      <c r="S24" s="141">
        <f t="shared" si="7"/>
        <v>2.77</v>
      </c>
      <c r="T24" s="141">
        <f t="shared" si="7"/>
        <v>80.050000000000011</v>
      </c>
      <c r="U24" s="141">
        <f t="shared" si="7"/>
        <v>3109.75</v>
      </c>
    </row>
    <row r="25" spans="1:21" s="145" customFormat="1" ht="38.25" customHeight="1" x14ac:dyDescent="0.4">
      <c r="A25" s="308" t="s">
        <v>95</v>
      </c>
      <c r="B25" s="309"/>
      <c r="C25" s="141">
        <f>C24+C19+C15+C11</f>
        <v>4692.6659999999993</v>
      </c>
      <c r="D25" s="141">
        <f t="shared" ref="D25:U25" si="8">D24+D19+D15+D11</f>
        <v>0.89</v>
      </c>
      <c r="E25" s="141">
        <f t="shared" si="8"/>
        <v>6.2</v>
      </c>
      <c r="F25" s="141">
        <f t="shared" si="8"/>
        <v>36.4</v>
      </c>
      <c r="G25" s="141">
        <f t="shared" si="8"/>
        <v>36.4</v>
      </c>
      <c r="H25" s="141">
        <f t="shared" si="8"/>
        <v>4657.155999999999</v>
      </c>
      <c r="I25" s="141">
        <f t="shared" si="8"/>
        <v>7204.2</v>
      </c>
      <c r="J25" s="141">
        <f t="shared" si="8"/>
        <v>408.75700000000001</v>
      </c>
      <c r="K25" s="141">
        <f t="shared" si="8"/>
        <v>591.95900000000006</v>
      </c>
      <c r="L25" s="141">
        <f t="shared" si="8"/>
        <v>0</v>
      </c>
      <c r="M25" s="141">
        <f t="shared" si="8"/>
        <v>1.1200000000000001</v>
      </c>
      <c r="N25" s="141">
        <f t="shared" si="8"/>
        <v>7612.9570000000003</v>
      </c>
      <c r="O25" s="141">
        <f t="shared" si="8"/>
        <v>591.66800000000012</v>
      </c>
      <c r="P25" s="141">
        <f t="shared" si="8"/>
        <v>0.61</v>
      </c>
      <c r="Q25" s="141">
        <f t="shared" si="8"/>
        <v>0.61</v>
      </c>
      <c r="R25" s="141">
        <f t="shared" si="8"/>
        <v>8.4700000000000006</v>
      </c>
      <c r="S25" s="141">
        <f t="shared" si="8"/>
        <v>9.48</v>
      </c>
      <c r="T25" s="141">
        <f t="shared" si="8"/>
        <v>583.80800000000011</v>
      </c>
      <c r="U25" s="141">
        <f t="shared" si="8"/>
        <v>12853.920999999998</v>
      </c>
    </row>
    <row r="26" spans="1:21" ht="38.25" customHeight="1" x14ac:dyDescent="0.35">
      <c r="A26" s="171">
        <v>15</v>
      </c>
      <c r="B26" s="231" t="s">
        <v>96</v>
      </c>
      <c r="C26" s="139">
        <f>'[6]May 2022'!H26</f>
        <v>1560.8099999999997</v>
      </c>
      <c r="D26" s="139">
        <v>7.51</v>
      </c>
      <c r="E26" s="139">
        <f>'[6]May 2022'!E26+'[6]June 2022'!D26</f>
        <v>15.34</v>
      </c>
      <c r="F26" s="139">
        <v>0</v>
      </c>
      <c r="G26" s="139">
        <f>'[6]May 2022'!G26+'[6]June 2022'!F26</f>
        <v>0</v>
      </c>
      <c r="H26" s="139">
        <f t="shared" si="0"/>
        <v>1568.3199999999997</v>
      </c>
      <c r="I26" s="139">
        <f>'[6]May 2022'!N26</f>
        <v>67.48</v>
      </c>
      <c r="J26" s="139">
        <v>0.05</v>
      </c>
      <c r="K26" s="139">
        <f>'[6]May 2022'!K26+'[6]June 2022'!J26</f>
        <v>0.2</v>
      </c>
      <c r="L26" s="139">
        <v>0</v>
      </c>
      <c r="M26" s="139">
        <f>'[6]May 2022'!M26+'[6]June 2022'!L26</f>
        <v>0</v>
      </c>
      <c r="N26" s="139">
        <f t="shared" si="1"/>
        <v>67.53</v>
      </c>
      <c r="O26" s="139">
        <f>'[6]May 2022'!T26</f>
        <v>16.11</v>
      </c>
      <c r="P26" s="139">
        <v>0</v>
      </c>
      <c r="Q26" s="139">
        <f>'[6]May 2022'!Q26+'[6]June 2022'!P26</f>
        <v>0</v>
      </c>
      <c r="R26" s="139">
        <v>0</v>
      </c>
      <c r="S26" s="139">
        <f>'[6]May 2022'!S26+'[6]June 2022'!R26</f>
        <v>0</v>
      </c>
      <c r="T26" s="139">
        <f t="shared" si="2"/>
        <v>16.11</v>
      </c>
      <c r="U26" s="139">
        <f t="shared" si="3"/>
        <v>1651.9599999999996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f>'[6]May 2022'!H27</f>
        <v>5598.2750000000024</v>
      </c>
      <c r="D27" s="139">
        <v>17.04</v>
      </c>
      <c r="E27" s="139">
        <f>'[6]May 2022'!E27+'[6]June 2022'!D27</f>
        <v>38.61</v>
      </c>
      <c r="F27" s="139">
        <v>0</v>
      </c>
      <c r="G27" s="139">
        <f>'[6]May 2022'!G27+'[6]June 2022'!F27</f>
        <v>0</v>
      </c>
      <c r="H27" s="139">
        <f t="shared" si="0"/>
        <v>5615.3150000000023</v>
      </c>
      <c r="I27" s="139">
        <f>'[6]May 2022'!N27</f>
        <v>597.048</v>
      </c>
      <c r="J27" s="139">
        <v>0.65</v>
      </c>
      <c r="K27" s="139">
        <f>'[6]May 2022'!K27+'[6]June 2022'!J27</f>
        <v>3.5100000000000002</v>
      </c>
      <c r="L27" s="139">
        <v>0</v>
      </c>
      <c r="M27" s="139">
        <f>'[6]May 2022'!M27+'[6]June 2022'!L27</f>
        <v>0</v>
      </c>
      <c r="N27" s="139">
        <f t="shared" si="1"/>
        <v>597.69799999999998</v>
      </c>
      <c r="O27" s="139">
        <f>'[6]May 2022'!T27</f>
        <v>33.49</v>
      </c>
      <c r="P27" s="139">
        <v>0</v>
      </c>
      <c r="Q27" s="139">
        <f>'[6]May 2022'!Q27+'[6]June 2022'!P27</f>
        <v>0</v>
      </c>
      <c r="R27" s="139">
        <v>0</v>
      </c>
      <c r="S27" s="139">
        <f>'[6]May 2022'!S27+'[6]June 2022'!R27</f>
        <v>0</v>
      </c>
      <c r="T27" s="139">
        <f t="shared" si="2"/>
        <v>33.49</v>
      </c>
      <c r="U27" s="139">
        <f t="shared" si="3"/>
        <v>6246.5030000000024</v>
      </c>
    </row>
    <row r="28" spans="1:21" s="111" customFormat="1" ht="38.25" customHeight="1" x14ac:dyDescent="0.4">
      <c r="A28" s="313" t="s">
        <v>98</v>
      </c>
      <c r="B28" s="313"/>
      <c r="C28" s="141">
        <f>SUM(C26:C27)</f>
        <v>7159.0850000000019</v>
      </c>
      <c r="D28" s="141">
        <f t="shared" ref="D28:U28" si="9">SUM(D26:D27)</f>
        <v>24.549999999999997</v>
      </c>
      <c r="E28" s="141">
        <f t="shared" si="9"/>
        <v>53.95</v>
      </c>
      <c r="F28" s="141">
        <f t="shared" si="9"/>
        <v>0</v>
      </c>
      <c r="G28" s="141">
        <f t="shared" si="9"/>
        <v>0</v>
      </c>
      <c r="H28" s="141">
        <f t="shared" si="9"/>
        <v>7183.635000000002</v>
      </c>
      <c r="I28" s="141">
        <f t="shared" si="9"/>
        <v>664.52800000000002</v>
      </c>
      <c r="J28" s="141">
        <f t="shared" si="9"/>
        <v>0.70000000000000007</v>
      </c>
      <c r="K28" s="141">
        <f t="shared" si="9"/>
        <v>3.7100000000000004</v>
      </c>
      <c r="L28" s="141">
        <f t="shared" si="9"/>
        <v>0</v>
      </c>
      <c r="M28" s="141">
        <f t="shared" si="9"/>
        <v>0</v>
      </c>
      <c r="N28" s="141">
        <f t="shared" si="9"/>
        <v>665.22799999999995</v>
      </c>
      <c r="O28" s="141">
        <f t="shared" si="9"/>
        <v>49.6</v>
      </c>
      <c r="P28" s="141">
        <f t="shared" si="9"/>
        <v>0</v>
      </c>
      <c r="Q28" s="141">
        <f t="shared" si="9"/>
        <v>0</v>
      </c>
      <c r="R28" s="141">
        <f t="shared" si="9"/>
        <v>0</v>
      </c>
      <c r="S28" s="141">
        <f t="shared" si="9"/>
        <v>0</v>
      </c>
      <c r="T28" s="141">
        <f t="shared" si="9"/>
        <v>49.6</v>
      </c>
      <c r="U28" s="141">
        <f t="shared" si="9"/>
        <v>7898.4630000000016</v>
      </c>
    </row>
    <row r="29" spans="1:21" ht="38.25" customHeight="1" x14ac:dyDescent="0.35">
      <c r="A29" s="171">
        <v>17</v>
      </c>
      <c r="B29" s="231" t="s">
        <v>99</v>
      </c>
      <c r="C29" s="139">
        <f>'[6]May 2022'!H29+199</f>
        <v>4659.3180000000011</v>
      </c>
      <c r="D29" s="139">
        <v>13.03</v>
      </c>
      <c r="E29" s="139">
        <f>'[6]May 2022'!E29+'[6]June 2022'!D29</f>
        <v>18.88</v>
      </c>
      <c r="F29" s="139">
        <v>0</v>
      </c>
      <c r="G29" s="139">
        <f>'[6]May 2022'!G29+'[6]June 2022'!F29</f>
        <v>0</v>
      </c>
      <c r="H29" s="139">
        <f t="shared" si="0"/>
        <v>4672.3480000000009</v>
      </c>
      <c r="I29" s="139">
        <f>'[6]May 2022'!N29-32.42</f>
        <v>119.39</v>
      </c>
      <c r="J29" s="139">
        <v>0</v>
      </c>
      <c r="K29" s="139">
        <f>'[6]May 2022'!K29+'[6]June 2022'!J29</f>
        <v>0</v>
      </c>
      <c r="L29" s="139">
        <v>0</v>
      </c>
      <c r="M29" s="139">
        <f>'[6]May 2022'!M29+'[6]June 2022'!L29</f>
        <v>0</v>
      </c>
      <c r="N29" s="139">
        <f t="shared" si="1"/>
        <v>119.39</v>
      </c>
      <c r="O29" s="139">
        <f>'[6]May 2022'!T29</f>
        <v>34.52000000000001</v>
      </c>
      <c r="P29" s="139">
        <v>0</v>
      </c>
      <c r="Q29" s="139">
        <f>'[6]May 2022'!Q29+'[6]June 2022'!P29</f>
        <v>0</v>
      </c>
      <c r="R29" s="139">
        <v>0</v>
      </c>
      <c r="S29" s="139">
        <f>'[6]May 2022'!S29+'[6]June 2022'!R29</f>
        <v>23.2</v>
      </c>
      <c r="T29" s="139">
        <f t="shared" si="2"/>
        <v>34.52000000000001</v>
      </c>
      <c r="U29" s="139">
        <f t="shared" si="3"/>
        <v>4826.2580000000016</v>
      </c>
    </row>
    <row r="30" spans="1:21" ht="38.25" customHeight="1" x14ac:dyDescent="0.35">
      <c r="A30" s="171">
        <v>18</v>
      </c>
      <c r="B30" s="231" t="s">
        <v>100</v>
      </c>
      <c r="C30" s="139">
        <f>'[6]May 2022'!H30+36.97</f>
        <v>3633.08</v>
      </c>
      <c r="D30" s="139">
        <v>7.24</v>
      </c>
      <c r="E30" s="139">
        <f>'[6]May 2022'!E30+'[6]June 2022'!D30</f>
        <v>27.980000000000004</v>
      </c>
      <c r="F30" s="139">
        <v>0</v>
      </c>
      <c r="G30" s="139">
        <f>'[6]May 2022'!G30+'[6]June 2022'!F30</f>
        <v>0</v>
      </c>
      <c r="H30" s="139">
        <f t="shared" si="0"/>
        <v>3640.3199999999997</v>
      </c>
      <c r="I30" s="139">
        <f>'[6]May 2022'!N30+32.42+36.47</f>
        <v>110.587</v>
      </c>
      <c r="J30" s="139">
        <v>0</v>
      </c>
      <c r="K30" s="139">
        <f>'[6]May 2022'!K30+'[6]June 2022'!J30</f>
        <v>0</v>
      </c>
      <c r="L30" s="139">
        <v>0</v>
      </c>
      <c r="M30" s="139">
        <f>'[6]May 2022'!M30+'[6]June 2022'!L30</f>
        <v>0</v>
      </c>
      <c r="N30" s="139">
        <f t="shared" si="1"/>
        <v>110.587</v>
      </c>
      <c r="O30" s="139">
        <f>'[6]May 2022'!T30</f>
        <v>23.25</v>
      </c>
      <c r="P30" s="139">
        <v>0</v>
      </c>
      <c r="Q30" s="139">
        <f>'[6]May 2022'!Q30+'[6]June 2022'!P30</f>
        <v>0</v>
      </c>
      <c r="R30" s="139">
        <v>0</v>
      </c>
      <c r="S30" s="139">
        <f>'[6]May 2022'!S30+'[6]June 2022'!R30</f>
        <v>0</v>
      </c>
      <c r="T30" s="139">
        <f t="shared" si="2"/>
        <v>23.25</v>
      </c>
      <c r="U30" s="139">
        <f t="shared" si="3"/>
        <v>3774.1569999999997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f>'[6]May 2022'!H31+75.58</f>
        <v>4677.2390000000005</v>
      </c>
      <c r="D31" s="139">
        <v>1.0900000000000001</v>
      </c>
      <c r="E31" s="139">
        <f>'[6]May 2022'!E31+'[6]June 2022'!D31</f>
        <v>12.75</v>
      </c>
      <c r="F31" s="139">
        <v>0</v>
      </c>
      <c r="G31" s="139">
        <f>'[6]May 2022'!G31+'[6]June 2022'!F31</f>
        <v>0</v>
      </c>
      <c r="H31" s="139">
        <f t="shared" si="0"/>
        <v>4678.3290000000006</v>
      </c>
      <c r="I31" s="139">
        <f>'[6]May 2022'!N31+20.92</f>
        <v>107.63000000000002</v>
      </c>
      <c r="J31" s="139">
        <v>0</v>
      </c>
      <c r="K31" s="139">
        <f>'[6]May 2022'!K31+'[6]June 2022'!J31</f>
        <v>0</v>
      </c>
      <c r="L31" s="139">
        <v>0</v>
      </c>
      <c r="M31" s="139">
        <f>'[6]May 2022'!M31+'[6]June 2022'!L31</f>
        <v>0</v>
      </c>
      <c r="N31" s="139">
        <f t="shared" si="1"/>
        <v>107.63000000000002</v>
      </c>
      <c r="O31" s="139">
        <f>'[6]May 2022'!T31</f>
        <v>14.850000000000001</v>
      </c>
      <c r="P31" s="139">
        <v>0</v>
      </c>
      <c r="Q31" s="139">
        <f>'[6]May 2022'!Q31+'[6]June 2022'!P31</f>
        <v>0</v>
      </c>
      <c r="R31" s="139">
        <v>0</v>
      </c>
      <c r="S31" s="139">
        <f>'[6]May 2022'!S31+'[6]June 2022'!R31</f>
        <v>0</v>
      </c>
      <c r="T31" s="139">
        <f t="shared" si="2"/>
        <v>14.850000000000001</v>
      </c>
      <c r="U31" s="139">
        <f t="shared" si="3"/>
        <v>4800.8090000000011</v>
      </c>
    </row>
    <row r="32" spans="1:21" ht="38.25" customHeight="1" x14ac:dyDescent="0.35">
      <c r="A32" s="171">
        <v>20</v>
      </c>
      <c r="B32" s="231" t="s">
        <v>102</v>
      </c>
      <c r="C32" s="139">
        <f>'[6]May 2022'!H32</f>
        <v>2340.2857999999992</v>
      </c>
      <c r="D32" s="139">
        <v>3.46</v>
      </c>
      <c r="E32" s="139">
        <f>'[6]May 2022'!E32+'[6]June 2022'!D32</f>
        <v>10.61</v>
      </c>
      <c r="F32" s="139">
        <v>0</v>
      </c>
      <c r="G32" s="139">
        <f>'[6]May 2022'!G32+'[6]June 2022'!F32</f>
        <v>9.7200000000000006</v>
      </c>
      <c r="H32" s="139">
        <f t="shared" si="0"/>
        <v>2343.7457999999992</v>
      </c>
      <c r="I32" s="139">
        <f>'[6]May 2022'!N32-36.47-20.92-226.52-25.16</f>
        <v>84.365999999999985</v>
      </c>
      <c r="J32" s="139">
        <v>1.18</v>
      </c>
      <c r="K32" s="139">
        <f>'[6]May 2022'!K32+'[6]June 2022'!J32</f>
        <v>2.7800000000000002</v>
      </c>
      <c r="L32" s="139">
        <v>0</v>
      </c>
      <c r="M32" s="139">
        <f>'[6]May 2022'!M32+'[6]June 2022'!L32</f>
        <v>0</v>
      </c>
      <c r="N32" s="139">
        <f t="shared" si="1"/>
        <v>85.545999999999992</v>
      </c>
      <c r="O32" s="139">
        <f>'[6]May 2022'!T32</f>
        <v>67.551999999999992</v>
      </c>
      <c r="P32" s="139">
        <v>0</v>
      </c>
      <c r="Q32" s="139">
        <f>'[6]May 2022'!Q32+'[6]June 2022'!P32</f>
        <v>0</v>
      </c>
      <c r="R32" s="139">
        <v>0</v>
      </c>
      <c r="S32" s="139">
        <f>'[6]May 2022'!S32+'[6]June 2022'!R32</f>
        <v>0</v>
      </c>
      <c r="T32" s="139">
        <f t="shared" si="2"/>
        <v>67.551999999999992</v>
      </c>
      <c r="U32" s="139">
        <f t="shared" si="3"/>
        <v>2496.8437999999992</v>
      </c>
    </row>
    <row r="33" spans="1:21" s="111" customFormat="1" ht="38.25" customHeight="1" x14ac:dyDescent="0.4">
      <c r="A33" s="313" t="s">
        <v>99</v>
      </c>
      <c r="B33" s="313"/>
      <c r="C33" s="141">
        <f>SUM(C29:C32)</f>
        <v>15309.922800000002</v>
      </c>
      <c r="D33" s="141">
        <f t="shared" ref="D33:U33" si="10">SUM(D29:D32)</f>
        <v>24.82</v>
      </c>
      <c r="E33" s="141">
        <f t="shared" si="10"/>
        <v>70.22</v>
      </c>
      <c r="F33" s="141">
        <f t="shared" si="10"/>
        <v>0</v>
      </c>
      <c r="G33" s="141">
        <f t="shared" si="10"/>
        <v>9.7200000000000006</v>
      </c>
      <c r="H33" s="141">
        <f t="shared" si="10"/>
        <v>15334.742800000002</v>
      </c>
      <c r="I33" s="141">
        <f t="shared" si="10"/>
        <v>421.97300000000001</v>
      </c>
      <c r="J33" s="141">
        <f t="shared" si="10"/>
        <v>1.18</v>
      </c>
      <c r="K33" s="141">
        <f t="shared" si="10"/>
        <v>2.7800000000000002</v>
      </c>
      <c r="L33" s="141">
        <f t="shared" si="10"/>
        <v>0</v>
      </c>
      <c r="M33" s="141">
        <f t="shared" si="10"/>
        <v>0</v>
      </c>
      <c r="N33" s="141">
        <f t="shared" si="10"/>
        <v>423.15300000000002</v>
      </c>
      <c r="O33" s="141">
        <f t="shared" si="10"/>
        <v>140.172</v>
      </c>
      <c r="P33" s="141">
        <f t="shared" si="10"/>
        <v>0</v>
      </c>
      <c r="Q33" s="141">
        <f t="shared" si="10"/>
        <v>0</v>
      </c>
      <c r="R33" s="141">
        <f t="shared" si="10"/>
        <v>0</v>
      </c>
      <c r="S33" s="141">
        <f t="shared" si="10"/>
        <v>23.2</v>
      </c>
      <c r="T33" s="141">
        <f t="shared" si="10"/>
        <v>140.172</v>
      </c>
      <c r="U33" s="141">
        <f t="shared" si="10"/>
        <v>15898.067800000001</v>
      </c>
    </row>
    <row r="34" spans="1:21" ht="38.25" customHeight="1" x14ac:dyDescent="0.35">
      <c r="A34" s="171">
        <v>21</v>
      </c>
      <c r="B34" s="231" t="s">
        <v>103</v>
      </c>
      <c r="C34" s="139">
        <f>'[6]May 2022'!H34</f>
        <v>4490.87</v>
      </c>
      <c r="D34" s="139">
        <v>16.920000000000002</v>
      </c>
      <c r="E34" s="139">
        <f>'[6]May 2022'!E34+'[6]June 2022'!D34</f>
        <v>68.69</v>
      </c>
      <c r="F34" s="139">
        <v>0</v>
      </c>
      <c r="G34" s="139">
        <f>'[6]May 2022'!G34+'[6]June 2022'!F34</f>
        <v>0</v>
      </c>
      <c r="H34" s="139">
        <f t="shared" si="0"/>
        <v>4507.79</v>
      </c>
      <c r="I34" s="139">
        <f>'[6]May 2022'!N34</f>
        <v>22.14</v>
      </c>
      <c r="J34" s="139">
        <v>0</v>
      </c>
      <c r="K34" s="139">
        <f>'[6]May 2022'!K34+'[6]June 2022'!J34</f>
        <v>22.14</v>
      </c>
      <c r="L34" s="139">
        <v>0</v>
      </c>
      <c r="M34" s="139">
        <f>'[6]May 2022'!M34+'[6]June 2022'!L34</f>
        <v>0</v>
      </c>
      <c r="N34" s="139">
        <f t="shared" si="1"/>
        <v>22.14</v>
      </c>
      <c r="O34" s="139">
        <f>'[6]May 2022'!T34</f>
        <v>72.7</v>
      </c>
      <c r="P34" s="139">
        <v>0</v>
      </c>
      <c r="Q34" s="139">
        <f>'[6]May 2022'!Q34+'[6]June 2022'!P34</f>
        <v>72.7</v>
      </c>
      <c r="R34" s="139">
        <v>0</v>
      </c>
      <c r="S34" s="139">
        <f>'[6]May 2022'!S34+'[6]June 2022'!R34</f>
        <v>0</v>
      </c>
      <c r="T34" s="139">
        <f t="shared" si="2"/>
        <v>72.7</v>
      </c>
      <c r="U34" s="139">
        <f t="shared" si="3"/>
        <v>4602.63</v>
      </c>
    </row>
    <row r="35" spans="1:21" ht="38.25" customHeight="1" x14ac:dyDescent="0.35">
      <c r="A35" s="171">
        <v>22</v>
      </c>
      <c r="B35" s="231" t="s">
        <v>104</v>
      </c>
      <c r="C35" s="139">
        <f>'[6]May 2022'!H35</f>
        <v>6305.9299999999976</v>
      </c>
      <c r="D35" s="139">
        <v>40.479999999999997</v>
      </c>
      <c r="E35" s="139">
        <f>'[6]May 2022'!E35+'[6]June 2022'!D35</f>
        <v>136.82999999999998</v>
      </c>
      <c r="F35" s="139">
        <v>0</v>
      </c>
      <c r="G35" s="139">
        <f>'[6]May 2022'!G35+'[6]June 2022'!F35</f>
        <v>0</v>
      </c>
      <c r="H35" s="139">
        <f t="shared" si="0"/>
        <v>6346.4099999999971</v>
      </c>
      <c r="I35" s="139">
        <f>'[6]May 2022'!N35</f>
        <v>33.18</v>
      </c>
      <c r="J35" s="139">
        <v>0.5</v>
      </c>
      <c r="K35" s="139">
        <f>'[6]May 2022'!K35+'[6]June 2022'!J35</f>
        <v>26.76</v>
      </c>
      <c r="L35" s="139">
        <v>0</v>
      </c>
      <c r="M35" s="139">
        <f>'[6]May 2022'!M35+'[6]June 2022'!L35</f>
        <v>0</v>
      </c>
      <c r="N35" s="139">
        <f t="shared" si="1"/>
        <v>33.68</v>
      </c>
      <c r="O35" s="139">
        <f>'[6]May 2022'!T35</f>
        <v>90.800000000000011</v>
      </c>
      <c r="P35" s="139">
        <v>0</v>
      </c>
      <c r="Q35" s="139">
        <f>'[6]May 2022'!Q35+'[6]June 2022'!P35</f>
        <v>32.380000000000003</v>
      </c>
      <c r="R35" s="139">
        <v>0</v>
      </c>
      <c r="S35" s="139">
        <f>'[6]May 2022'!S35+'[6]June 2022'!R35</f>
        <v>0</v>
      </c>
      <c r="T35" s="139">
        <f t="shared" si="2"/>
        <v>90.800000000000011</v>
      </c>
      <c r="U35" s="139">
        <f t="shared" si="3"/>
        <v>6470.8899999999976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f>'[6]May 2022'!H36</f>
        <v>3502.37</v>
      </c>
      <c r="D36" s="139">
        <v>31.51</v>
      </c>
      <c r="E36" s="139">
        <f>'[6]May 2022'!E36+'[6]June 2022'!D36</f>
        <v>82.78</v>
      </c>
      <c r="F36" s="139">
        <v>0</v>
      </c>
      <c r="G36" s="139">
        <f>'[6]May 2022'!G36+'[6]June 2022'!F36</f>
        <v>0</v>
      </c>
      <c r="H36" s="139">
        <f t="shared" si="0"/>
        <v>3533.88</v>
      </c>
      <c r="I36" s="139">
        <f>'[6]May 2022'!N36</f>
        <v>25.05000000000004</v>
      </c>
      <c r="J36" s="139">
        <v>5.2</v>
      </c>
      <c r="K36" s="139">
        <f>'[6]May 2022'!K36+'[6]June 2022'!J36</f>
        <v>5.2</v>
      </c>
      <c r="L36" s="139">
        <v>0</v>
      </c>
      <c r="M36" s="139">
        <f>'[6]May 2022'!M36+'[6]June 2022'!L36</f>
        <v>4.63</v>
      </c>
      <c r="N36" s="139">
        <f t="shared" si="1"/>
        <v>30.250000000000039</v>
      </c>
      <c r="O36" s="139">
        <f>'[6]May 2022'!T36</f>
        <v>36.379999999999995</v>
      </c>
      <c r="P36" s="139">
        <v>0</v>
      </c>
      <c r="Q36" s="139">
        <f>'[6]May 2022'!Q36+'[6]June 2022'!P36</f>
        <v>19.29</v>
      </c>
      <c r="R36" s="139">
        <v>0</v>
      </c>
      <c r="S36" s="139">
        <f>'[6]May 2022'!S36+'[6]June 2022'!R36</f>
        <v>0</v>
      </c>
      <c r="T36" s="139">
        <f t="shared" si="2"/>
        <v>36.379999999999995</v>
      </c>
      <c r="U36" s="139">
        <f t="shared" si="3"/>
        <v>3600.51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f>'[6]May 2022'!H37</f>
        <v>4825.8699999999972</v>
      </c>
      <c r="D37" s="139">
        <v>28.7</v>
      </c>
      <c r="E37" s="139">
        <f>'[6]May 2022'!E37+'[6]June 2022'!D37</f>
        <v>66.449999999999989</v>
      </c>
      <c r="F37" s="139">
        <v>0</v>
      </c>
      <c r="G37" s="139">
        <f>'[6]May 2022'!G37+'[6]June 2022'!F37</f>
        <v>0</v>
      </c>
      <c r="H37" s="139">
        <f t="shared" si="0"/>
        <v>4854.569999999997</v>
      </c>
      <c r="I37" s="139">
        <f>'[6]May 2022'!N37</f>
        <v>12.430000000000001</v>
      </c>
      <c r="J37" s="139">
        <v>14.27</v>
      </c>
      <c r="K37" s="139">
        <f>'[6]May 2022'!K37+'[6]June 2022'!J37</f>
        <v>14.27</v>
      </c>
      <c r="L37" s="139">
        <v>0</v>
      </c>
      <c r="M37" s="139">
        <f>'[6]May 2022'!M37+'[6]June 2022'!L37</f>
        <v>1.06</v>
      </c>
      <c r="N37" s="139">
        <f t="shared" si="1"/>
        <v>26.700000000000003</v>
      </c>
      <c r="O37" s="139">
        <f>'[6]May 2022'!T37</f>
        <v>3.0599999999999996</v>
      </c>
      <c r="P37" s="139">
        <v>0</v>
      </c>
      <c r="Q37" s="139">
        <f>'[6]May 2022'!Q37+'[6]June 2022'!P37</f>
        <v>0</v>
      </c>
      <c r="R37" s="139">
        <v>0</v>
      </c>
      <c r="S37" s="139">
        <f>'[6]May 2022'!S37+'[6]June 2022'!R37</f>
        <v>3.46</v>
      </c>
      <c r="T37" s="139">
        <f t="shared" si="2"/>
        <v>3.0599999999999996</v>
      </c>
      <c r="U37" s="139">
        <f t="shared" si="3"/>
        <v>4884.3299999999972</v>
      </c>
    </row>
    <row r="38" spans="1:21" s="111" customFormat="1" ht="38.25" customHeight="1" x14ac:dyDescent="0.4">
      <c r="A38" s="313" t="s">
        <v>107</v>
      </c>
      <c r="B38" s="313"/>
      <c r="C38" s="141">
        <f>SUM(C34:C37)</f>
        <v>19125.039999999994</v>
      </c>
      <c r="D38" s="141">
        <f t="shared" ref="D38:U38" si="11">SUM(D34:D37)</f>
        <v>117.61</v>
      </c>
      <c r="E38" s="141">
        <f t="shared" si="11"/>
        <v>354.74999999999994</v>
      </c>
      <c r="F38" s="141">
        <f t="shared" si="11"/>
        <v>0</v>
      </c>
      <c r="G38" s="141">
        <f t="shared" si="11"/>
        <v>0</v>
      </c>
      <c r="H38" s="141">
        <f t="shared" si="11"/>
        <v>19242.649999999994</v>
      </c>
      <c r="I38" s="141">
        <f t="shared" si="11"/>
        <v>92.80000000000004</v>
      </c>
      <c r="J38" s="141">
        <f t="shared" si="11"/>
        <v>19.97</v>
      </c>
      <c r="K38" s="141">
        <f t="shared" si="11"/>
        <v>68.37</v>
      </c>
      <c r="L38" s="141">
        <f t="shared" si="11"/>
        <v>0</v>
      </c>
      <c r="M38" s="141">
        <f t="shared" si="11"/>
        <v>5.6899999999999995</v>
      </c>
      <c r="N38" s="141">
        <f t="shared" si="11"/>
        <v>112.77000000000004</v>
      </c>
      <c r="O38" s="141">
        <f t="shared" si="11"/>
        <v>202.94</v>
      </c>
      <c r="P38" s="141">
        <f t="shared" si="11"/>
        <v>0</v>
      </c>
      <c r="Q38" s="141">
        <f t="shared" si="11"/>
        <v>124.37</v>
      </c>
      <c r="R38" s="141">
        <f t="shared" si="11"/>
        <v>0</v>
      </c>
      <c r="S38" s="141">
        <f t="shared" si="11"/>
        <v>3.46</v>
      </c>
      <c r="T38" s="141">
        <f t="shared" si="11"/>
        <v>202.94</v>
      </c>
      <c r="U38" s="141">
        <f t="shared" si="11"/>
        <v>19558.359999999993</v>
      </c>
    </row>
    <row r="39" spans="1:21" s="145" customFormat="1" ht="38.25" customHeight="1" x14ac:dyDescent="0.4">
      <c r="A39" s="313" t="s">
        <v>108</v>
      </c>
      <c r="B39" s="313"/>
      <c r="C39" s="141">
        <f>C38+C33+C28</f>
        <v>41594.047799999993</v>
      </c>
      <c r="D39" s="141">
        <f t="shared" ref="D39:U39" si="12">D38+D33+D28</f>
        <v>166.98000000000002</v>
      </c>
      <c r="E39" s="141">
        <f t="shared" si="12"/>
        <v>478.9199999999999</v>
      </c>
      <c r="F39" s="141">
        <f t="shared" si="12"/>
        <v>0</v>
      </c>
      <c r="G39" s="141">
        <f t="shared" si="12"/>
        <v>9.7200000000000006</v>
      </c>
      <c r="H39" s="141">
        <f t="shared" si="12"/>
        <v>41761.027799999996</v>
      </c>
      <c r="I39" s="141">
        <f t="shared" si="12"/>
        <v>1179.3009999999999</v>
      </c>
      <c r="J39" s="141">
        <f t="shared" si="12"/>
        <v>21.849999999999998</v>
      </c>
      <c r="K39" s="141">
        <f t="shared" si="12"/>
        <v>74.86</v>
      </c>
      <c r="L39" s="141">
        <f t="shared" si="12"/>
        <v>0</v>
      </c>
      <c r="M39" s="141">
        <f t="shared" si="12"/>
        <v>5.6899999999999995</v>
      </c>
      <c r="N39" s="141">
        <f t="shared" si="12"/>
        <v>1201.1509999999998</v>
      </c>
      <c r="O39" s="141">
        <f t="shared" si="12"/>
        <v>392.71199999999999</v>
      </c>
      <c r="P39" s="141">
        <f t="shared" si="12"/>
        <v>0</v>
      </c>
      <c r="Q39" s="141">
        <f t="shared" si="12"/>
        <v>124.37</v>
      </c>
      <c r="R39" s="141">
        <f t="shared" si="12"/>
        <v>0</v>
      </c>
      <c r="S39" s="141">
        <f t="shared" si="12"/>
        <v>26.66</v>
      </c>
      <c r="T39" s="141">
        <f t="shared" si="12"/>
        <v>392.71199999999999</v>
      </c>
      <c r="U39" s="141">
        <f t="shared" si="12"/>
        <v>43354.890799999994</v>
      </c>
    </row>
    <row r="40" spans="1:21" ht="38.25" customHeight="1" x14ac:dyDescent="0.35">
      <c r="A40" s="171">
        <v>25</v>
      </c>
      <c r="B40" s="231" t="s">
        <v>109</v>
      </c>
      <c r="C40" s="139">
        <f>'[6]May 2022'!H40</f>
        <v>11530.023999999999</v>
      </c>
      <c r="D40" s="139">
        <v>47.22</v>
      </c>
      <c r="E40" s="139">
        <f>'[6]May 2022'!E40+'[6]June 2022'!D40</f>
        <v>186.8</v>
      </c>
      <c r="F40" s="139">
        <v>0</v>
      </c>
      <c r="G40" s="139">
        <f>'[6]May 2022'!G40+'[6]June 2022'!F40</f>
        <v>0</v>
      </c>
      <c r="H40" s="139">
        <f t="shared" si="0"/>
        <v>11577.243999999999</v>
      </c>
      <c r="I40" s="139">
        <v>198.73</v>
      </c>
      <c r="J40" s="139">
        <v>0</v>
      </c>
      <c r="K40" s="139">
        <f>'[6]May 2022'!K40+'[6]June 2022'!J40</f>
        <v>0</v>
      </c>
      <c r="L40" s="139">
        <v>0</v>
      </c>
      <c r="M40" s="139">
        <f>'[6]May 2022'!M40+'[6]June 2022'!L40</f>
        <v>0</v>
      </c>
      <c r="N40" s="139">
        <f t="shared" si="1"/>
        <v>198.73</v>
      </c>
      <c r="O40" s="139">
        <f>'[6]May 2022'!T40</f>
        <v>0</v>
      </c>
      <c r="P40" s="139">
        <v>0</v>
      </c>
      <c r="Q40" s="139">
        <f>'[6]May 2022'!Q40+'[6]June 2022'!P40</f>
        <v>0</v>
      </c>
      <c r="R40" s="139">
        <v>0</v>
      </c>
      <c r="S40" s="139">
        <f>'[6]May 2022'!S40+'[6]June 2022'!R40</f>
        <v>0</v>
      </c>
      <c r="T40" s="139">
        <f t="shared" si="2"/>
        <v>0</v>
      </c>
      <c r="U40" s="139">
        <f t="shared" si="3"/>
        <v>11775.973999999998</v>
      </c>
    </row>
    <row r="41" spans="1:21" ht="38.25" customHeight="1" x14ac:dyDescent="0.35">
      <c r="A41" s="171">
        <v>26</v>
      </c>
      <c r="B41" s="231" t="s">
        <v>110</v>
      </c>
      <c r="C41" s="139">
        <f>'[6]May 2022'!H41</f>
        <v>7642.3569999999945</v>
      </c>
      <c r="D41" s="139">
        <v>95.28</v>
      </c>
      <c r="E41" s="139">
        <f>'[6]May 2022'!E41+'[6]June 2022'!D41</f>
        <v>239.6</v>
      </c>
      <c r="F41" s="139">
        <v>0</v>
      </c>
      <c r="G41" s="139">
        <f>'[6]May 2022'!G41+'[6]June 2022'!F41</f>
        <v>0</v>
      </c>
      <c r="H41" s="139">
        <f t="shared" si="0"/>
        <v>7737.6369999999943</v>
      </c>
      <c r="I41" s="139">
        <v>8.67</v>
      </c>
      <c r="J41" s="139">
        <v>0</v>
      </c>
      <c r="K41" s="139">
        <f>'[6]May 2022'!K41+'[6]June 2022'!J41</f>
        <v>0</v>
      </c>
      <c r="L41" s="139">
        <v>0</v>
      </c>
      <c r="M41" s="139">
        <f>'[6]May 2022'!M41+'[6]June 2022'!L41</f>
        <v>0</v>
      </c>
      <c r="N41" s="139">
        <f t="shared" si="1"/>
        <v>8.67</v>
      </c>
      <c r="O41" s="139">
        <f>'[6]May 2022'!T41</f>
        <v>0</v>
      </c>
      <c r="P41" s="139">
        <v>0</v>
      </c>
      <c r="Q41" s="139">
        <f>'[6]May 2022'!Q41+'[6]June 2022'!P41</f>
        <v>0</v>
      </c>
      <c r="R41" s="139">
        <v>0</v>
      </c>
      <c r="S41" s="139">
        <f>'[6]May 2022'!S41+'[6]June 2022'!R41</f>
        <v>0</v>
      </c>
      <c r="T41" s="139">
        <f t="shared" si="2"/>
        <v>0</v>
      </c>
      <c r="U41" s="139">
        <f t="shared" si="3"/>
        <v>7746.3069999999943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f>'[6]May 2022'!H42</f>
        <v>13829.788999999995</v>
      </c>
      <c r="D42" s="139">
        <v>11.5</v>
      </c>
      <c r="E42" s="139">
        <f>'[6]May 2022'!E42+'[6]June 2022'!D42</f>
        <v>35.85</v>
      </c>
      <c r="F42" s="139">
        <v>0</v>
      </c>
      <c r="G42" s="139">
        <f>'[6]May 2022'!G42+'[6]June 2022'!F42</f>
        <v>0</v>
      </c>
      <c r="H42" s="139">
        <f t="shared" si="0"/>
        <v>13841.288999999995</v>
      </c>
      <c r="I42" s="139">
        <v>15.62</v>
      </c>
      <c r="J42" s="139">
        <v>0</v>
      </c>
      <c r="K42" s="139">
        <f>'[6]May 2022'!K42+'[6]June 2022'!J42</f>
        <v>0</v>
      </c>
      <c r="L42" s="139">
        <v>0</v>
      </c>
      <c r="M42" s="139">
        <f>'[6]May 2022'!M42+'[6]June 2022'!L42</f>
        <v>0</v>
      </c>
      <c r="N42" s="139">
        <f t="shared" si="1"/>
        <v>15.62</v>
      </c>
      <c r="O42" s="139">
        <f>'[6]May 2022'!T42</f>
        <v>39.019999999999996</v>
      </c>
      <c r="P42" s="139">
        <v>0</v>
      </c>
      <c r="Q42" s="139">
        <f>'[6]May 2022'!Q42+'[6]June 2022'!P42</f>
        <v>0</v>
      </c>
      <c r="R42" s="139">
        <v>0</v>
      </c>
      <c r="S42" s="139">
        <f>'[6]May 2022'!S42+'[6]June 2022'!R42</f>
        <v>0</v>
      </c>
      <c r="T42" s="139">
        <f t="shared" si="2"/>
        <v>39.019999999999996</v>
      </c>
      <c r="U42" s="139">
        <f t="shared" si="3"/>
        <v>13895.928999999996</v>
      </c>
    </row>
    <row r="43" spans="1:21" ht="38.25" customHeight="1" x14ac:dyDescent="0.35">
      <c r="A43" s="171">
        <v>28</v>
      </c>
      <c r="B43" s="231" t="s">
        <v>112</v>
      </c>
      <c r="C43" s="139">
        <f>'[6]May 2022'!H43</f>
        <v>3978.8400000000011</v>
      </c>
      <c r="D43" s="139">
        <v>6.36</v>
      </c>
      <c r="E43" s="139">
        <f>'[6]May 2022'!E43+'[6]June 2022'!D43</f>
        <v>17.72</v>
      </c>
      <c r="F43" s="139">
        <v>0</v>
      </c>
      <c r="G43" s="139">
        <f>'[6]May 2022'!G43+'[6]June 2022'!F43</f>
        <v>0</v>
      </c>
      <c r="H43" s="139">
        <f t="shared" si="0"/>
        <v>3985.2000000000012</v>
      </c>
      <c r="I43" s="139">
        <v>3.5</v>
      </c>
      <c r="J43" s="139">
        <v>0</v>
      </c>
      <c r="K43" s="139">
        <f>'[6]May 2022'!K43+'[6]June 2022'!J43</f>
        <v>0</v>
      </c>
      <c r="L43" s="139">
        <v>0</v>
      </c>
      <c r="M43" s="139">
        <f>'[6]May 2022'!M43+'[6]June 2022'!L43</f>
        <v>0</v>
      </c>
      <c r="N43" s="139">
        <f t="shared" si="1"/>
        <v>3.5</v>
      </c>
      <c r="O43" s="139">
        <f>'[6]May 2022'!T43</f>
        <v>0</v>
      </c>
      <c r="P43" s="139">
        <v>0</v>
      </c>
      <c r="Q43" s="139">
        <f>'[6]May 2022'!Q43+'[6]June 2022'!P43</f>
        <v>0</v>
      </c>
      <c r="R43" s="139">
        <v>0</v>
      </c>
      <c r="S43" s="139">
        <f>'[6]May 2022'!S43+'[6]June 2022'!R43</f>
        <v>0</v>
      </c>
      <c r="T43" s="139">
        <f t="shared" si="2"/>
        <v>0</v>
      </c>
      <c r="U43" s="139">
        <f t="shared" si="3"/>
        <v>3988.7000000000012</v>
      </c>
    </row>
    <row r="44" spans="1:21" s="111" customFormat="1" ht="38.25" customHeight="1" x14ac:dyDescent="0.4">
      <c r="A44" s="313" t="s">
        <v>109</v>
      </c>
      <c r="B44" s="313"/>
      <c r="C44" s="141">
        <f>SUM(C40:C43)</f>
        <v>36981.009999999995</v>
      </c>
      <c r="D44" s="141">
        <f t="shared" ref="D44:U44" si="13">SUM(D40:D43)</f>
        <v>160.36000000000001</v>
      </c>
      <c r="E44" s="141">
        <f t="shared" si="13"/>
        <v>479.97</v>
      </c>
      <c r="F44" s="141">
        <f t="shared" si="13"/>
        <v>0</v>
      </c>
      <c r="G44" s="141">
        <f t="shared" si="13"/>
        <v>0</v>
      </c>
      <c r="H44" s="141">
        <f t="shared" si="13"/>
        <v>37141.369999999995</v>
      </c>
      <c r="I44" s="141">
        <f t="shared" si="13"/>
        <v>226.51999999999998</v>
      </c>
      <c r="J44" s="141">
        <f t="shared" si="13"/>
        <v>0</v>
      </c>
      <c r="K44" s="141">
        <f t="shared" si="13"/>
        <v>0</v>
      </c>
      <c r="L44" s="141">
        <f t="shared" si="13"/>
        <v>0</v>
      </c>
      <c r="M44" s="141">
        <f t="shared" si="13"/>
        <v>0</v>
      </c>
      <c r="N44" s="141">
        <f t="shared" si="13"/>
        <v>226.51999999999998</v>
      </c>
      <c r="O44" s="141">
        <f t="shared" si="13"/>
        <v>39.019999999999996</v>
      </c>
      <c r="P44" s="141">
        <f t="shared" si="13"/>
        <v>0</v>
      </c>
      <c r="Q44" s="141">
        <f t="shared" si="13"/>
        <v>0</v>
      </c>
      <c r="R44" s="141">
        <f t="shared" si="13"/>
        <v>0</v>
      </c>
      <c r="S44" s="141">
        <f t="shared" si="13"/>
        <v>0</v>
      </c>
      <c r="T44" s="141">
        <f t="shared" si="13"/>
        <v>39.019999999999996</v>
      </c>
      <c r="U44" s="141">
        <f t="shared" si="13"/>
        <v>37406.909999999996</v>
      </c>
    </row>
    <row r="45" spans="1:21" ht="38.25" customHeight="1" x14ac:dyDescent="0.35">
      <c r="A45" s="171">
        <v>29</v>
      </c>
      <c r="B45" s="231" t="s">
        <v>113</v>
      </c>
      <c r="C45" s="139">
        <f>'[6]May 2022'!H45-371.34</f>
        <v>8084.5421000000006</v>
      </c>
      <c r="D45" s="139">
        <v>16.89</v>
      </c>
      <c r="E45" s="139">
        <f>'[6]May 2022'!E45+'[6]June 2022'!D45</f>
        <v>49.45</v>
      </c>
      <c r="F45" s="139">
        <v>0</v>
      </c>
      <c r="G45" s="139">
        <f>'[6]May 2022'!G45+'[6]June 2022'!F45</f>
        <v>0</v>
      </c>
      <c r="H45" s="139">
        <f t="shared" si="0"/>
        <v>8101.4321000000009</v>
      </c>
      <c r="I45" s="139">
        <f>'[6]May 2022'!N45+25.16</f>
        <v>42.14</v>
      </c>
      <c r="J45" s="139">
        <v>0</v>
      </c>
      <c r="K45" s="139">
        <f>'[6]May 2022'!K45+'[6]June 2022'!J45</f>
        <v>0.22</v>
      </c>
      <c r="L45" s="139">
        <v>0</v>
      </c>
      <c r="M45" s="139">
        <f>'[6]May 2022'!M45+'[6]June 2022'!L45</f>
        <v>0</v>
      </c>
      <c r="N45" s="139">
        <f t="shared" si="1"/>
        <v>42.14</v>
      </c>
      <c r="O45" s="139">
        <f>'[6]May 2022'!T45</f>
        <v>14.75</v>
      </c>
      <c r="P45" s="139">
        <v>0</v>
      </c>
      <c r="Q45" s="139">
        <f>'[6]May 2022'!Q45+'[6]June 2022'!P45</f>
        <v>0</v>
      </c>
      <c r="R45" s="139">
        <v>0</v>
      </c>
      <c r="S45" s="139">
        <f>'[6]May 2022'!S45+'[6]June 2022'!R45</f>
        <v>0</v>
      </c>
      <c r="T45" s="139">
        <f t="shared" si="2"/>
        <v>14.75</v>
      </c>
      <c r="U45" s="139">
        <f t="shared" si="3"/>
        <v>8158.3221000000012</v>
      </c>
    </row>
    <row r="46" spans="1:21" ht="38.25" customHeight="1" x14ac:dyDescent="0.35">
      <c r="A46" s="171">
        <v>30</v>
      </c>
      <c r="B46" s="231" t="s">
        <v>114</v>
      </c>
      <c r="C46" s="139">
        <f>'[6]May 2022'!H46</f>
        <v>7764.8450000000021</v>
      </c>
      <c r="D46" s="139">
        <v>8</v>
      </c>
      <c r="E46" s="139">
        <f>'[6]May 2022'!E46+'[6]June 2022'!D46</f>
        <v>34.35</v>
      </c>
      <c r="F46" s="139">
        <v>0</v>
      </c>
      <c r="G46" s="139">
        <f>'[6]May 2022'!G46+'[6]June 2022'!F46</f>
        <v>0</v>
      </c>
      <c r="H46" s="139">
        <f t="shared" si="0"/>
        <v>7772.8450000000021</v>
      </c>
      <c r="I46" s="139">
        <f>'[6]May 2022'!N46</f>
        <v>0</v>
      </c>
      <c r="J46" s="139">
        <v>0</v>
      </c>
      <c r="K46" s="139">
        <f>'[6]May 2022'!K46+'[6]June 2022'!J46</f>
        <v>0</v>
      </c>
      <c r="L46" s="139">
        <v>0</v>
      </c>
      <c r="M46" s="139">
        <f>'[6]May 2022'!M46+'[6]June 2022'!L46</f>
        <v>0</v>
      </c>
      <c r="N46" s="139">
        <f t="shared" si="1"/>
        <v>0</v>
      </c>
      <c r="O46" s="139">
        <f>'[6]May 2022'!T46</f>
        <v>0</v>
      </c>
      <c r="P46" s="139">
        <v>0</v>
      </c>
      <c r="Q46" s="139">
        <f>'[6]May 2022'!Q46+'[6]June 2022'!P46</f>
        <v>0</v>
      </c>
      <c r="R46" s="139">
        <v>0</v>
      </c>
      <c r="S46" s="139">
        <f>'[6]May 2022'!S46+'[6]June 2022'!R46</f>
        <v>0</v>
      </c>
      <c r="T46" s="139">
        <f t="shared" si="2"/>
        <v>0</v>
      </c>
      <c r="U46" s="139">
        <f t="shared" si="3"/>
        <v>7772.8450000000021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f>'[6]May 2022'!H47</f>
        <v>8861.7900000000009</v>
      </c>
      <c r="D47" s="139">
        <v>42.28</v>
      </c>
      <c r="E47" s="139">
        <f>'[6]May 2022'!E47+'[6]June 2022'!D47</f>
        <v>119.43</v>
      </c>
      <c r="F47" s="139">
        <v>0</v>
      </c>
      <c r="G47" s="139">
        <f>'[6]May 2022'!G47+'[6]June 2022'!F47</f>
        <v>0</v>
      </c>
      <c r="H47" s="139">
        <f t="shared" si="0"/>
        <v>8904.0700000000015</v>
      </c>
      <c r="I47" s="139">
        <f>'[6]May 2022'!N47</f>
        <v>3.13</v>
      </c>
      <c r="J47" s="139">
        <v>0</v>
      </c>
      <c r="K47" s="139">
        <f>'[6]May 2022'!K47+'[6]June 2022'!J47</f>
        <v>0</v>
      </c>
      <c r="L47" s="139">
        <v>0</v>
      </c>
      <c r="M47" s="139">
        <f>'[6]May 2022'!M47+'[6]June 2022'!L47</f>
        <v>0</v>
      </c>
      <c r="N47" s="139">
        <f t="shared" si="1"/>
        <v>3.13</v>
      </c>
      <c r="O47" s="139">
        <f>'[6]May 2022'!T47</f>
        <v>0.03</v>
      </c>
      <c r="P47" s="139">
        <v>0</v>
      </c>
      <c r="Q47" s="139">
        <f>'[6]May 2022'!Q47+'[6]June 2022'!P47</f>
        <v>0</v>
      </c>
      <c r="R47" s="139">
        <v>0</v>
      </c>
      <c r="S47" s="139">
        <f>'[6]May 2022'!S47+'[6]June 2022'!R47</f>
        <v>0</v>
      </c>
      <c r="T47" s="139">
        <f t="shared" si="2"/>
        <v>0.03</v>
      </c>
      <c r="U47" s="139">
        <f t="shared" si="3"/>
        <v>8907.2300000000014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f>'[6]May 2022'!H48</f>
        <v>8554.4789999999994</v>
      </c>
      <c r="D48" s="139">
        <v>16.87</v>
      </c>
      <c r="E48" s="139">
        <f>'[6]May 2022'!E48+'[6]June 2022'!D48</f>
        <v>374.56</v>
      </c>
      <c r="F48" s="139">
        <v>0</v>
      </c>
      <c r="G48" s="139">
        <f>'[6]May 2022'!G48+'[6]June 2022'!F48</f>
        <v>0</v>
      </c>
      <c r="H48" s="139">
        <f t="shared" si="0"/>
        <v>8571.3490000000002</v>
      </c>
      <c r="I48" s="139">
        <f>'[6]May 2022'!N48</f>
        <v>5.0249999999999995</v>
      </c>
      <c r="J48" s="139">
        <v>0</v>
      </c>
      <c r="K48" s="139">
        <f>'[6]May 2022'!K48+'[6]June 2022'!J48</f>
        <v>0</v>
      </c>
      <c r="L48" s="139">
        <v>0</v>
      </c>
      <c r="M48" s="139">
        <f>'[6]May 2022'!M48+'[6]June 2022'!L48</f>
        <v>0</v>
      </c>
      <c r="N48" s="139">
        <f t="shared" si="1"/>
        <v>5.0249999999999995</v>
      </c>
      <c r="O48" s="139">
        <f>'[6]May 2022'!T48</f>
        <v>4.21</v>
      </c>
      <c r="P48" s="139">
        <v>0</v>
      </c>
      <c r="Q48" s="139">
        <f>'[6]May 2022'!Q48+'[6]June 2022'!P48</f>
        <v>4.21</v>
      </c>
      <c r="R48" s="139">
        <v>0</v>
      </c>
      <c r="S48" s="139">
        <f>'[6]May 2022'!S48+'[6]June 2022'!R48</f>
        <v>0</v>
      </c>
      <c r="T48" s="139">
        <f t="shared" si="2"/>
        <v>4.21</v>
      </c>
      <c r="U48" s="139">
        <f t="shared" si="3"/>
        <v>8580.5839999999989</v>
      </c>
    </row>
    <row r="49" spans="1:21" s="111" customFormat="1" ht="38.25" customHeight="1" x14ac:dyDescent="0.4">
      <c r="A49" s="313" t="s">
        <v>117</v>
      </c>
      <c r="B49" s="313"/>
      <c r="C49" s="141">
        <f>SUM(C45:C48)</f>
        <v>33265.656100000007</v>
      </c>
      <c r="D49" s="141">
        <f t="shared" ref="D49:U49" si="14">SUM(D45:D48)</f>
        <v>84.04</v>
      </c>
      <c r="E49" s="141">
        <f t="shared" si="14"/>
        <v>577.79</v>
      </c>
      <c r="F49" s="141">
        <f t="shared" si="14"/>
        <v>0</v>
      </c>
      <c r="G49" s="141">
        <f t="shared" si="14"/>
        <v>0</v>
      </c>
      <c r="H49" s="141">
        <f t="shared" si="14"/>
        <v>33349.696100000008</v>
      </c>
      <c r="I49" s="141">
        <f t="shared" si="14"/>
        <v>50.295000000000002</v>
      </c>
      <c r="J49" s="141">
        <f t="shared" si="14"/>
        <v>0</v>
      </c>
      <c r="K49" s="141">
        <f t="shared" si="14"/>
        <v>0.22</v>
      </c>
      <c r="L49" s="141">
        <f t="shared" si="14"/>
        <v>0</v>
      </c>
      <c r="M49" s="141">
        <f t="shared" si="14"/>
        <v>0</v>
      </c>
      <c r="N49" s="141">
        <f t="shared" si="14"/>
        <v>50.295000000000002</v>
      </c>
      <c r="O49" s="141">
        <f t="shared" si="14"/>
        <v>18.989999999999998</v>
      </c>
      <c r="P49" s="141">
        <f t="shared" si="14"/>
        <v>0</v>
      </c>
      <c r="Q49" s="141">
        <f t="shared" si="14"/>
        <v>4.21</v>
      </c>
      <c r="R49" s="141">
        <f t="shared" si="14"/>
        <v>0</v>
      </c>
      <c r="S49" s="141">
        <f t="shared" si="14"/>
        <v>0</v>
      </c>
      <c r="T49" s="141">
        <f t="shared" si="14"/>
        <v>18.989999999999998</v>
      </c>
      <c r="U49" s="141">
        <f t="shared" si="14"/>
        <v>33418.981100000005</v>
      </c>
    </row>
    <row r="50" spans="1:21" s="145" customFormat="1" ht="38.25" customHeight="1" x14ac:dyDescent="0.4">
      <c r="A50" s="313" t="s">
        <v>118</v>
      </c>
      <c r="B50" s="313"/>
      <c r="C50" s="141">
        <f>C49+C44</f>
        <v>70246.666100000002</v>
      </c>
      <c r="D50" s="141">
        <f t="shared" ref="D50:U50" si="15">D49+D44</f>
        <v>244.40000000000003</v>
      </c>
      <c r="E50" s="141">
        <f t="shared" si="15"/>
        <v>1057.76</v>
      </c>
      <c r="F50" s="141">
        <f t="shared" si="15"/>
        <v>0</v>
      </c>
      <c r="G50" s="141">
        <f t="shared" si="15"/>
        <v>0</v>
      </c>
      <c r="H50" s="141">
        <f t="shared" si="15"/>
        <v>70491.066099999996</v>
      </c>
      <c r="I50" s="141">
        <f t="shared" si="15"/>
        <v>276.815</v>
      </c>
      <c r="J50" s="141">
        <f t="shared" si="15"/>
        <v>0</v>
      </c>
      <c r="K50" s="141">
        <f t="shared" si="15"/>
        <v>0.22</v>
      </c>
      <c r="L50" s="141">
        <f t="shared" si="15"/>
        <v>0</v>
      </c>
      <c r="M50" s="141">
        <f t="shared" si="15"/>
        <v>0</v>
      </c>
      <c r="N50" s="141">
        <f t="shared" si="15"/>
        <v>276.815</v>
      </c>
      <c r="O50" s="141">
        <f t="shared" si="15"/>
        <v>58.009999999999991</v>
      </c>
      <c r="P50" s="141">
        <f t="shared" si="15"/>
        <v>0</v>
      </c>
      <c r="Q50" s="141">
        <f t="shared" si="15"/>
        <v>4.21</v>
      </c>
      <c r="R50" s="141">
        <f t="shared" si="15"/>
        <v>0</v>
      </c>
      <c r="S50" s="141">
        <f t="shared" si="15"/>
        <v>0</v>
      </c>
      <c r="T50" s="141">
        <f t="shared" si="15"/>
        <v>58.009999999999991</v>
      </c>
      <c r="U50" s="141">
        <f t="shared" si="15"/>
        <v>70825.891100000008</v>
      </c>
    </row>
    <row r="51" spans="1:21" s="146" customFormat="1" ht="38.25" customHeight="1" x14ac:dyDescent="0.4">
      <c r="A51" s="313" t="s">
        <v>119</v>
      </c>
      <c r="B51" s="313"/>
      <c r="C51" s="141">
        <f>C50+C39+C25</f>
        <v>116533.3799</v>
      </c>
      <c r="D51" s="141">
        <f t="shared" ref="D51:U51" si="16">D50+D39+D25</f>
        <v>412.27000000000004</v>
      </c>
      <c r="E51" s="141">
        <f t="shared" si="16"/>
        <v>1542.8799999999999</v>
      </c>
      <c r="F51" s="141">
        <f t="shared" si="16"/>
        <v>36.4</v>
      </c>
      <c r="G51" s="141">
        <f t="shared" si="16"/>
        <v>46.12</v>
      </c>
      <c r="H51" s="141">
        <f t="shared" si="16"/>
        <v>116909.2499</v>
      </c>
      <c r="I51" s="141">
        <f t="shared" si="16"/>
        <v>8660.3159999999989</v>
      </c>
      <c r="J51" s="141">
        <f t="shared" si="16"/>
        <v>430.60700000000003</v>
      </c>
      <c r="K51" s="141">
        <f t="shared" si="16"/>
        <v>667.0390000000001</v>
      </c>
      <c r="L51" s="141">
        <f t="shared" si="16"/>
        <v>0</v>
      </c>
      <c r="M51" s="141">
        <f t="shared" si="16"/>
        <v>6.81</v>
      </c>
      <c r="N51" s="141">
        <f t="shared" si="16"/>
        <v>9090.9230000000007</v>
      </c>
      <c r="O51" s="141">
        <f t="shared" si="16"/>
        <v>1042.3900000000001</v>
      </c>
      <c r="P51" s="141">
        <f t="shared" si="16"/>
        <v>0.61</v>
      </c>
      <c r="Q51" s="141">
        <f t="shared" si="16"/>
        <v>129.19000000000003</v>
      </c>
      <c r="R51" s="141">
        <f t="shared" si="16"/>
        <v>8.4700000000000006</v>
      </c>
      <c r="S51" s="141">
        <f t="shared" si="16"/>
        <v>36.14</v>
      </c>
      <c r="T51" s="141">
        <f t="shared" si="16"/>
        <v>1034.5300000000002</v>
      </c>
      <c r="U51" s="141">
        <f t="shared" si="16"/>
        <v>127034.7029</v>
      </c>
    </row>
    <row r="52" spans="1:21" s="111" customFormat="1" ht="24" customHeight="1" x14ac:dyDescent="0.4">
      <c r="A52" s="115"/>
      <c r="B52" s="115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</row>
    <row r="53" spans="1:21" s="111" customFormat="1" ht="19.5" customHeight="1" x14ac:dyDescent="0.4">
      <c r="A53" s="115"/>
      <c r="B53" s="115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</row>
    <row r="54" spans="1:21" s="115" customFormat="1" ht="24.75" hidden="1" customHeight="1" x14ac:dyDescent="0.4">
      <c r="B54" s="238"/>
      <c r="C54" s="278" t="s">
        <v>54</v>
      </c>
      <c r="D54" s="278"/>
      <c r="E54" s="278"/>
      <c r="F54" s="278"/>
      <c r="G54" s="278"/>
      <c r="H54" s="118"/>
      <c r="I54" s="238"/>
      <c r="J54" s="238">
        <f>D51+J51+P51-F51-L51-R51</f>
        <v>798.61700000000008</v>
      </c>
      <c r="K54" s="238"/>
      <c r="L54" s="238"/>
      <c r="M54" s="238"/>
      <c r="N54" s="238"/>
      <c r="R54" s="238"/>
      <c r="U54" s="238"/>
    </row>
    <row r="55" spans="1:21" s="115" customFormat="1" ht="30" hidden="1" customHeight="1" x14ac:dyDescent="0.35">
      <c r="B55" s="238"/>
      <c r="C55" s="278" t="s">
        <v>55</v>
      </c>
      <c r="D55" s="278"/>
      <c r="E55" s="278"/>
      <c r="F55" s="278"/>
      <c r="G55" s="278"/>
      <c r="H55" s="119"/>
      <c r="I55" s="238"/>
      <c r="J55" s="238">
        <f>E51+K51+Q51-G51-M51-S51</f>
        <v>2250.0390000000002</v>
      </c>
      <c r="K55" s="238"/>
      <c r="L55" s="238"/>
      <c r="M55" s="238"/>
      <c r="N55" s="238"/>
      <c r="R55" s="238"/>
      <c r="T55" s="238"/>
    </row>
    <row r="56" spans="1:21" ht="33" hidden="1" customHeight="1" x14ac:dyDescent="0.5">
      <c r="C56" s="278" t="s">
        <v>56</v>
      </c>
      <c r="D56" s="278"/>
      <c r="E56" s="278"/>
      <c r="F56" s="278"/>
      <c r="G56" s="278"/>
      <c r="H56" s="119"/>
      <c r="I56" s="121"/>
      <c r="J56" s="238">
        <f>H51+N51+T51</f>
        <v>127034.70289999999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38"/>
      <c r="E57" s="238"/>
      <c r="F57" s="238"/>
      <c r="G57" s="238"/>
      <c r="H57" s="119"/>
      <c r="I57" s="121"/>
      <c r="J57" s="238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38"/>
      <c r="E58" s="238"/>
      <c r="F58" s="238"/>
      <c r="G58" s="238"/>
      <c r="H58" s="119"/>
      <c r="I58" s="121"/>
      <c r="J58" s="238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87" t="s">
        <v>57</v>
      </c>
      <c r="C59" s="287"/>
      <c r="D59" s="287"/>
      <c r="E59" s="287"/>
      <c r="F59" s="287"/>
      <c r="G59" s="153"/>
      <c r="H59" s="154"/>
      <c r="I59" s="155"/>
      <c r="J59" s="288"/>
      <c r="K59" s="286"/>
      <c r="L59" s="286"/>
      <c r="M59" s="169" t="e">
        <f>#REF!+'dec-2021'!J54</f>
        <v>#REF!</v>
      </c>
      <c r="N59" s="154"/>
      <c r="O59" s="154"/>
      <c r="P59" s="239"/>
      <c r="Q59" s="287" t="s">
        <v>58</v>
      </c>
      <c r="R59" s="287"/>
      <c r="S59" s="287"/>
      <c r="T59" s="287"/>
      <c r="U59" s="287"/>
    </row>
    <row r="60" spans="1:21" s="152" customFormat="1" ht="37.5" hidden="1" customHeight="1" x14ac:dyDescent="0.45">
      <c r="B60" s="287" t="s">
        <v>59</v>
      </c>
      <c r="C60" s="287"/>
      <c r="D60" s="287"/>
      <c r="E60" s="287"/>
      <c r="F60" s="287"/>
      <c r="G60" s="154"/>
      <c r="H60" s="153"/>
      <c r="I60" s="156"/>
      <c r="J60" s="157"/>
      <c r="K60" s="240"/>
      <c r="L60" s="157"/>
      <c r="M60" s="154"/>
      <c r="N60" s="153"/>
      <c r="O60" s="154"/>
      <c r="P60" s="239"/>
      <c r="Q60" s="287" t="s">
        <v>59</v>
      </c>
      <c r="R60" s="287"/>
      <c r="S60" s="287"/>
      <c r="T60" s="287"/>
      <c r="U60" s="287"/>
    </row>
    <row r="61" spans="1:21" s="152" customFormat="1" ht="37.5" hidden="1" customHeight="1" x14ac:dyDescent="0.45">
      <c r="I61" s="158"/>
      <c r="J61" s="286" t="s">
        <v>61</v>
      </c>
      <c r="K61" s="286"/>
      <c r="L61" s="286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86" t="s">
        <v>62</v>
      </c>
      <c r="K62" s="286"/>
      <c r="L62" s="286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scale="15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zoomScale="60" zoomScaleNormal="55" workbookViewId="0">
      <selection activeCell="T69" sqref="T69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150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53" t="s">
        <v>122</v>
      </c>
      <c r="B4" s="355" t="s">
        <v>121</v>
      </c>
      <c r="C4" s="358" t="s">
        <v>131</v>
      </c>
      <c r="D4" s="359"/>
      <c r="E4" s="359"/>
      <c r="F4" s="359"/>
      <c r="G4" s="359"/>
      <c r="H4" s="359"/>
      <c r="I4" s="358" t="s">
        <v>146</v>
      </c>
      <c r="J4" s="359"/>
      <c r="K4" s="359"/>
      <c r="L4" s="359"/>
      <c r="M4" s="359"/>
      <c r="N4" s="359"/>
      <c r="O4" s="358" t="s">
        <v>147</v>
      </c>
      <c r="P4" s="359"/>
      <c r="Q4" s="359"/>
      <c r="R4" s="359"/>
      <c r="S4" s="359"/>
      <c r="T4" s="359"/>
      <c r="U4" s="242"/>
    </row>
    <row r="5" spans="1:21" s="108" customFormat="1" ht="54.75" customHeight="1" x14ac:dyDescent="0.25">
      <c r="A5" s="354"/>
      <c r="B5" s="356"/>
      <c r="C5" s="349" t="s">
        <v>6</v>
      </c>
      <c r="D5" s="351" t="s">
        <v>127</v>
      </c>
      <c r="E5" s="352"/>
      <c r="F5" s="351" t="s">
        <v>126</v>
      </c>
      <c r="G5" s="352"/>
      <c r="H5" s="349" t="s">
        <v>9</v>
      </c>
      <c r="I5" s="349" t="s">
        <v>6</v>
      </c>
      <c r="J5" s="351" t="s">
        <v>127</v>
      </c>
      <c r="K5" s="352"/>
      <c r="L5" s="351" t="s">
        <v>126</v>
      </c>
      <c r="M5" s="352"/>
      <c r="N5" s="349" t="s">
        <v>9</v>
      </c>
      <c r="O5" s="349" t="s">
        <v>6</v>
      </c>
      <c r="P5" s="351" t="s">
        <v>127</v>
      </c>
      <c r="Q5" s="352"/>
      <c r="R5" s="351" t="s">
        <v>126</v>
      </c>
      <c r="S5" s="352"/>
      <c r="T5" s="349" t="s">
        <v>9</v>
      </c>
      <c r="U5" s="355" t="s">
        <v>128</v>
      </c>
    </row>
    <row r="6" spans="1:21" s="108" customFormat="1" ht="38.25" customHeight="1" x14ac:dyDescent="0.25">
      <c r="A6" s="354"/>
      <c r="B6" s="357"/>
      <c r="C6" s="350"/>
      <c r="D6" s="231" t="s">
        <v>124</v>
      </c>
      <c r="E6" s="231" t="s">
        <v>125</v>
      </c>
      <c r="F6" s="231" t="s">
        <v>124</v>
      </c>
      <c r="G6" s="231" t="s">
        <v>125</v>
      </c>
      <c r="H6" s="350"/>
      <c r="I6" s="350"/>
      <c r="J6" s="231" t="s">
        <v>124</v>
      </c>
      <c r="K6" s="231" t="s">
        <v>125</v>
      </c>
      <c r="L6" s="231" t="s">
        <v>124</v>
      </c>
      <c r="M6" s="231" t="s">
        <v>125</v>
      </c>
      <c r="N6" s="350"/>
      <c r="O6" s="350"/>
      <c r="P6" s="231" t="s">
        <v>124</v>
      </c>
      <c r="Q6" s="231" t="s">
        <v>125</v>
      </c>
      <c r="R6" s="231" t="s">
        <v>124</v>
      </c>
      <c r="S6" s="231" t="s">
        <v>125</v>
      </c>
      <c r="T6" s="350"/>
      <c r="U6" s="357"/>
    </row>
    <row r="7" spans="1:21" ht="38.25" customHeight="1" x14ac:dyDescent="0.35">
      <c r="A7" s="230">
        <v>1</v>
      </c>
      <c r="B7" s="231" t="s">
        <v>78</v>
      </c>
      <c r="C7" s="139">
        <v>90.039999999999978</v>
      </c>
      <c r="D7" s="139">
        <v>0</v>
      </c>
      <c r="E7" s="139">
        <v>0</v>
      </c>
      <c r="F7" s="139">
        <v>41.8</v>
      </c>
      <c r="G7" s="139">
        <v>41.8</v>
      </c>
      <c r="H7" s="139">
        <v>48.239999999999981</v>
      </c>
      <c r="I7" s="139">
        <v>590.44599999999991</v>
      </c>
      <c r="J7" s="139">
        <v>77.319999999999993</v>
      </c>
      <c r="K7" s="139">
        <v>83.548999999999992</v>
      </c>
      <c r="L7" s="139">
        <v>0</v>
      </c>
      <c r="M7" s="139">
        <v>0</v>
      </c>
      <c r="N7" s="139">
        <v>667.76599999999985</v>
      </c>
      <c r="O7" s="139">
        <v>8.436000000000007</v>
      </c>
      <c r="P7" s="139">
        <v>0</v>
      </c>
      <c r="Q7" s="139">
        <v>0</v>
      </c>
      <c r="R7" s="139">
        <v>0</v>
      </c>
      <c r="S7" s="139">
        <v>1.01</v>
      </c>
      <c r="T7" s="139">
        <v>8.436000000000007</v>
      </c>
      <c r="U7" s="139">
        <v>724.44199999999989</v>
      </c>
    </row>
    <row r="8" spans="1:21" ht="38.25" customHeight="1" x14ac:dyDescent="0.35">
      <c r="A8" s="230">
        <v>2</v>
      </c>
      <c r="B8" s="231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326.10500000000002</v>
      </c>
      <c r="J8" s="139">
        <v>4.75</v>
      </c>
      <c r="K8" s="139">
        <v>18.875</v>
      </c>
      <c r="L8" s="139">
        <v>0</v>
      </c>
      <c r="M8" s="139">
        <v>0</v>
      </c>
      <c r="N8" s="139">
        <v>330.85500000000002</v>
      </c>
      <c r="O8" s="139">
        <v>66.290000000000006</v>
      </c>
      <c r="P8" s="139">
        <v>0</v>
      </c>
      <c r="Q8" s="139">
        <v>0</v>
      </c>
      <c r="R8" s="139">
        <v>0</v>
      </c>
      <c r="S8" s="139">
        <v>0</v>
      </c>
      <c r="T8" s="139">
        <v>66.290000000000006</v>
      </c>
      <c r="U8" s="139">
        <v>662.53499999999997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742.42800000000011</v>
      </c>
      <c r="J9" s="139">
        <v>46.879999999999995</v>
      </c>
      <c r="K9" s="139">
        <v>88.279999999999987</v>
      </c>
      <c r="L9" s="139">
        <v>0</v>
      </c>
      <c r="M9" s="139">
        <v>0</v>
      </c>
      <c r="N9" s="139">
        <v>789.30800000000011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1043.2080000000001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347.08999999999992</v>
      </c>
      <c r="J10" s="139">
        <v>0.36</v>
      </c>
      <c r="K10" s="139">
        <v>5.0750000000000002</v>
      </c>
      <c r="L10" s="139">
        <v>0</v>
      </c>
      <c r="M10" s="139">
        <v>0</v>
      </c>
      <c r="N10" s="139">
        <v>347.44999999999993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347.64999999999992</v>
      </c>
    </row>
    <row r="11" spans="1:21" s="111" customFormat="1" ht="38.25" customHeight="1" x14ac:dyDescent="0.4">
      <c r="A11" s="308" t="s">
        <v>82</v>
      </c>
      <c r="B11" s="309"/>
      <c r="C11" s="141">
        <v>564.58999999999992</v>
      </c>
      <c r="D11" s="141">
        <v>0</v>
      </c>
      <c r="E11" s="141">
        <v>0</v>
      </c>
      <c r="F11" s="141">
        <v>41.8</v>
      </c>
      <c r="G11" s="141">
        <v>41.8</v>
      </c>
      <c r="H11" s="141">
        <v>522.79</v>
      </c>
      <c r="I11" s="141">
        <v>2006.069</v>
      </c>
      <c r="J11" s="141">
        <v>129.31</v>
      </c>
      <c r="K11" s="141">
        <v>195.77899999999997</v>
      </c>
      <c r="L11" s="141">
        <v>0</v>
      </c>
      <c r="M11" s="141">
        <v>0</v>
      </c>
      <c r="N11" s="141">
        <v>2135.3789999999999</v>
      </c>
      <c r="O11" s="141">
        <v>119.66600000000001</v>
      </c>
      <c r="P11" s="141">
        <v>0</v>
      </c>
      <c r="Q11" s="141">
        <v>0</v>
      </c>
      <c r="R11" s="141">
        <v>0</v>
      </c>
      <c r="S11" s="141">
        <v>1.01</v>
      </c>
      <c r="T11" s="141">
        <v>119.66600000000001</v>
      </c>
      <c r="U11" s="141">
        <v>2777.835</v>
      </c>
    </row>
    <row r="12" spans="1:21" ht="38.25" customHeight="1" x14ac:dyDescent="0.35">
      <c r="A12" s="171">
        <v>4</v>
      </c>
      <c r="B12" s="231" t="s">
        <v>83</v>
      </c>
      <c r="C12" s="139">
        <v>355.3099999999996</v>
      </c>
      <c r="D12" s="139">
        <v>0</v>
      </c>
      <c r="E12" s="139">
        <v>0</v>
      </c>
      <c r="F12" s="139">
        <v>0</v>
      </c>
      <c r="G12" s="139">
        <v>0</v>
      </c>
      <c r="H12" s="139">
        <v>355.3099999999996</v>
      </c>
      <c r="I12" s="139">
        <v>851.72499999999991</v>
      </c>
      <c r="J12" s="221">
        <v>0.47</v>
      </c>
      <c r="K12" s="139">
        <v>47.489999999999995</v>
      </c>
      <c r="L12" s="139">
        <v>0</v>
      </c>
      <c r="M12" s="139">
        <v>0</v>
      </c>
      <c r="N12" s="139">
        <v>852.19499999999994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v>36.850000000000009</v>
      </c>
      <c r="U12" s="139">
        <v>1244.3549999999996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v>0</v>
      </c>
      <c r="F13" s="139">
        <v>0</v>
      </c>
      <c r="G13" s="139">
        <v>0</v>
      </c>
      <c r="H13" s="139">
        <v>312.23000000000013</v>
      </c>
      <c r="I13" s="139">
        <v>531.64200000000028</v>
      </c>
      <c r="J13" s="221">
        <v>0.51</v>
      </c>
      <c r="K13" s="139">
        <v>3.62</v>
      </c>
      <c r="L13" s="139">
        <v>0.7</v>
      </c>
      <c r="M13" s="139">
        <v>0.7</v>
      </c>
      <c r="N13" s="139">
        <v>531.45200000000023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912.07200000000034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v>0</v>
      </c>
      <c r="F14" s="139">
        <v>0</v>
      </c>
      <c r="G14" s="139">
        <v>0</v>
      </c>
      <c r="H14" s="139">
        <v>1216.4399999999994</v>
      </c>
      <c r="I14" s="139">
        <v>874.29800000000023</v>
      </c>
      <c r="J14" s="221">
        <v>0.8</v>
      </c>
      <c r="K14" s="139">
        <v>10.31</v>
      </c>
      <c r="L14" s="139">
        <v>0</v>
      </c>
      <c r="M14" s="139">
        <v>0</v>
      </c>
      <c r="N14" s="139">
        <v>875.09800000000018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2152.8679999999995</v>
      </c>
    </row>
    <row r="15" spans="1:21" s="111" customFormat="1" ht="38.25" customHeight="1" x14ac:dyDescent="0.4">
      <c r="A15" s="308" t="s">
        <v>86</v>
      </c>
      <c r="B15" s="309"/>
      <c r="C15" s="141">
        <v>1883.9799999999991</v>
      </c>
      <c r="D15" s="141">
        <v>0</v>
      </c>
      <c r="E15" s="141">
        <v>0</v>
      </c>
      <c r="F15" s="141">
        <v>0</v>
      </c>
      <c r="G15" s="141">
        <v>0</v>
      </c>
      <c r="H15" s="141">
        <v>1883.9799999999991</v>
      </c>
      <c r="I15" s="141">
        <v>2257.6650000000004</v>
      </c>
      <c r="J15" s="141">
        <v>1.78</v>
      </c>
      <c r="K15" s="141">
        <v>61.419999999999995</v>
      </c>
      <c r="L15" s="141">
        <v>0.7</v>
      </c>
      <c r="M15" s="141">
        <v>0.7</v>
      </c>
      <c r="N15" s="141">
        <v>2258.7450000000003</v>
      </c>
      <c r="O15" s="141">
        <v>166.57</v>
      </c>
      <c r="P15" s="141">
        <v>0</v>
      </c>
      <c r="Q15" s="141">
        <v>0</v>
      </c>
      <c r="R15" s="141">
        <v>0</v>
      </c>
      <c r="S15" s="141">
        <v>0</v>
      </c>
      <c r="T15" s="141">
        <v>166.57</v>
      </c>
      <c r="U15" s="141">
        <v>4309.2949999999992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987.30400000000031</v>
      </c>
      <c r="D16" s="139">
        <v>0</v>
      </c>
      <c r="E16" s="139">
        <v>1.21</v>
      </c>
      <c r="F16" s="139">
        <v>11</v>
      </c>
      <c r="G16" s="139">
        <v>18.75</v>
      </c>
      <c r="H16" s="139">
        <v>976.30400000000031</v>
      </c>
      <c r="I16" s="139">
        <v>351.76599999999996</v>
      </c>
      <c r="J16" s="139">
        <v>2.58</v>
      </c>
      <c r="K16" s="139">
        <v>55.3</v>
      </c>
      <c r="L16" s="139">
        <v>0</v>
      </c>
      <c r="M16" s="139">
        <v>0</v>
      </c>
      <c r="N16" s="139">
        <v>354.34599999999995</v>
      </c>
      <c r="O16" s="139">
        <v>177.41200000000003</v>
      </c>
      <c r="P16" s="139">
        <v>0</v>
      </c>
      <c r="Q16" s="139">
        <v>0</v>
      </c>
      <c r="R16" s="139">
        <v>0</v>
      </c>
      <c r="S16" s="139">
        <v>0</v>
      </c>
      <c r="T16" s="139">
        <v>177.41200000000003</v>
      </c>
      <c r="U16" s="139">
        <v>1508.0620000000004</v>
      </c>
    </row>
    <row r="17" spans="1:21" ht="38.25" customHeight="1" x14ac:dyDescent="0.35">
      <c r="A17" s="171">
        <v>9</v>
      </c>
      <c r="B17" s="231" t="s">
        <v>120</v>
      </c>
      <c r="C17" s="139">
        <v>2.6759999999999478</v>
      </c>
      <c r="D17" s="139">
        <v>0</v>
      </c>
      <c r="E17" s="139">
        <v>0</v>
      </c>
      <c r="F17" s="139">
        <v>0</v>
      </c>
      <c r="G17" s="139">
        <v>3.74</v>
      </c>
      <c r="H17" s="139">
        <v>2.6759999999999478</v>
      </c>
      <c r="I17" s="139">
        <v>562.09000000000015</v>
      </c>
      <c r="J17" s="139">
        <v>0.93</v>
      </c>
      <c r="K17" s="139">
        <v>51.27</v>
      </c>
      <c r="L17" s="139">
        <v>0</v>
      </c>
      <c r="M17" s="139">
        <v>0</v>
      </c>
      <c r="N17" s="139">
        <v>563.0200000000001</v>
      </c>
      <c r="O17" s="139">
        <v>1.2400000000000002</v>
      </c>
      <c r="P17" s="139">
        <v>0</v>
      </c>
      <c r="Q17" s="139">
        <v>0.61</v>
      </c>
      <c r="R17" s="139">
        <v>0</v>
      </c>
      <c r="S17" s="139">
        <v>5.7</v>
      </c>
      <c r="T17" s="139">
        <v>1.2400000000000002</v>
      </c>
      <c r="U17" s="139">
        <v>566.93600000000004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136.0160000000001</v>
      </c>
      <c r="D18" s="139">
        <v>0</v>
      </c>
      <c r="E18" s="139">
        <v>0.24</v>
      </c>
      <c r="F18" s="139">
        <v>0</v>
      </c>
      <c r="G18" s="139">
        <v>0</v>
      </c>
      <c r="H18" s="139">
        <v>136.0160000000001</v>
      </c>
      <c r="I18" s="139">
        <v>488.25699999999995</v>
      </c>
      <c r="J18" s="139">
        <v>1.6</v>
      </c>
      <c r="K18" s="139">
        <v>4.32</v>
      </c>
      <c r="L18" s="139">
        <v>0</v>
      </c>
      <c r="M18" s="139">
        <v>0</v>
      </c>
      <c r="N18" s="139">
        <v>489.85699999999997</v>
      </c>
      <c r="O18" s="139">
        <v>38.869999999999997</v>
      </c>
      <c r="P18" s="139">
        <v>0</v>
      </c>
      <c r="Q18" s="139">
        <v>0</v>
      </c>
      <c r="R18" s="139">
        <v>0</v>
      </c>
      <c r="S18" s="139">
        <v>0</v>
      </c>
      <c r="T18" s="139">
        <v>38.869999999999997</v>
      </c>
      <c r="U18" s="139">
        <v>664.74300000000005</v>
      </c>
    </row>
    <row r="19" spans="1:21" s="111" customFormat="1" ht="38.25" customHeight="1" x14ac:dyDescent="0.4">
      <c r="A19" s="308" t="s">
        <v>89</v>
      </c>
      <c r="B19" s="309"/>
      <c r="C19" s="141">
        <v>1125.9960000000003</v>
      </c>
      <c r="D19" s="141">
        <v>0</v>
      </c>
      <c r="E19" s="141">
        <v>1.45</v>
      </c>
      <c r="F19" s="141">
        <v>11</v>
      </c>
      <c r="G19" s="141">
        <v>22.490000000000002</v>
      </c>
      <c r="H19" s="141">
        <v>1114.9960000000003</v>
      </c>
      <c r="I19" s="141">
        <v>1402.1130000000001</v>
      </c>
      <c r="J19" s="141">
        <v>5.1100000000000003</v>
      </c>
      <c r="K19" s="141">
        <v>110.88999999999999</v>
      </c>
      <c r="L19" s="141">
        <v>0</v>
      </c>
      <c r="M19" s="141">
        <v>0</v>
      </c>
      <c r="N19" s="141">
        <v>1407.223</v>
      </c>
      <c r="O19" s="141">
        <v>217.52200000000005</v>
      </c>
      <c r="P19" s="141">
        <v>0</v>
      </c>
      <c r="Q19" s="141">
        <v>0.61</v>
      </c>
      <c r="R19" s="141">
        <v>0</v>
      </c>
      <c r="S19" s="141">
        <v>5.7</v>
      </c>
      <c r="T19" s="141">
        <v>217.52200000000005</v>
      </c>
      <c r="U19" s="141">
        <v>2739.7410000000004</v>
      </c>
    </row>
    <row r="20" spans="1:21" ht="38.25" customHeight="1" x14ac:dyDescent="0.35">
      <c r="A20" s="171">
        <v>8</v>
      </c>
      <c r="B20" s="231" t="s">
        <v>91</v>
      </c>
      <c r="C20" s="139">
        <v>607.00999999999988</v>
      </c>
      <c r="D20" s="139">
        <v>0.12</v>
      </c>
      <c r="E20" s="139">
        <v>1.4700000000000002</v>
      </c>
      <c r="F20" s="139">
        <v>0</v>
      </c>
      <c r="G20" s="139">
        <v>24.91</v>
      </c>
      <c r="H20" s="139">
        <v>607.12999999999988</v>
      </c>
      <c r="I20" s="139">
        <v>719.51800000000014</v>
      </c>
      <c r="J20" s="139">
        <v>0.71</v>
      </c>
      <c r="K20" s="139">
        <v>322.08</v>
      </c>
      <c r="L20" s="139">
        <v>0</v>
      </c>
      <c r="M20" s="139">
        <v>1.04</v>
      </c>
      <c r="N20" s="139">
        <v>720.22800000000018</v>
      </c>
      <c r="O20" s="139">
        <v>37.580000000000005</v>
      </c>
      <c r="P20" s="139">
        <v>0</v>
      </c>
      <c r="Q20" s="139">
        <v>0</v>
      </c>
      <c r="R20" s="139">
        <v>0</v>
      </c>
      <c r="S20" s="139">
        <v>2.77</v>
      </c>
      <c r="T20" s="139">
        <v>37.580000000000005</v>
      </c>
      <c r="U20" s="139">
        <v>1364.9380000000001</v>
      </c>
    </row>
    <row r="21" spans="1:21" ht="38.25" customHeight="1" x14ac:dyDescent="0.35">
      <c r="A21" s="171">
        <v>9</v>
      </c>
      <c r="B21" s="231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0</v>
      </c>
      <c r="H21" s="139">
        <v>22.51</v>
      </c>
      <c r="I21" s="139">
        <v>416.93700000000001</v>
      </c>
      <c r="J21" s="139">
        <v>1.25</v>
      </c>
      <c r="K21" s="139">
        <v>20.07</v>
      </c>
      <c r="L21" s="139">
        <v>0</v>
      </c>
      <c r="M21" s="139">
        <v>0</v>
      </c>
      <c r="N21" s="139">
        <v>418.18700000000001</v>
      </c>
      <c r="O21" s="139">
        <v>19.369999999999997</v>
      </c>
      <c r="P21" s="139">
        <v>0.12</v>
      </c>
      <c r="Q21" s="139">
        <v>0.12</v>
      </c>
      <c r="R21" s="139">
        <v>0</v>
      </c>
      <c r="S21" s="139">
        <v>0</v>
      </c>
      <c r="T21" s="139">
        <v>19.489999999999998</v>
      </c>
      <c r="U21" s="139">
        <v>460.18700000000001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v>0</v>
      </c>
      <c r="F22" s="139">
        <v>0</v>
      </c>
      <c r="G22" s="139">
        <v>0</v>
      </c>
      <c r="H22" s="139">
        <v>22.430000000000021</v>
      </c>
      <c r="I22" s="139">
        <v>691.79</v>
      </c>
      <c r="J22" s="139">
        <v>0.37</v>
      </c>
      <c r="K22" s="139">
        <v>3.27</v>
      </c>
      <c r="L22" s="139">
        <v>0</v>
      </c>
      <c r="M22" s="139">
        <v>0.08</v>
      </c>
      <c r="N22" s="139">
        <v>692.16</v>
      </c>
      <c r="O22" s="139">
        <v>0.60000000000000098</v>
      </c>
      <c r="P22" s="139">
        <v>0</v>
      </c>
      <c r="Q22" s="139">
        <v>0</v>
      </c>
      <c r="R22" s="139">
        <v>0</v>
      </c>
      <c r="S22" s="139">
        <v>0</v>
      </c>
      <c r="T22" s="139">
        <v>0.60000000000000098</v>
      </c>
      <c r="U22" s="139">
        <v>715.19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430.64</v>
      </c>
      <c r="D23" s="139">
        <v>0</v>
      </c>
      <c r="E23" s="139">
        <v>3.4</v>
      </c>
      <c r="F23" s="139">
        <v>0</v>
      </c>
      <c r="G23" s="139">
        <v>0</v>
      </c>
      <c r="H23" s="139">
        <v>430.64</v>
      </c>
      <c r="I23" s="139">
        <v>118.86499999999999</v>
      </c>
      <c r="J23" s="139">
        <v>0.81</v>
      </c>
      <c r="K23" s="139">
        <v>17.79</v>
      </c>
      <c r="L23" s="139">
        <v>0</v>
      </c>
      <c r="M23" s="139">
        <v>0</v>
      </c>
      <c r="N23" s="139">
        <v>119.675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572.81499999999994</v>
      </c>
    </row>
    <row r="24" spans="1:21" s="111" customFormat="1" ht="38.25" customHeight="1" x14ac:dyDescent="0.4">
      <c r="A24" s="313" t="s">
        <v>94</v>
      </c>
      <c r="B24" s="313"/>
      <c r="C24" s="141">
        <v>1082.5899999999999</v>
      </c>
      <c r="D24" s="141">
        <v>0.12</v>
      </c>
      <c r="E24" s="141">
        <v>4.87</v>
      </c>
      <c r="F24" s="141">
        <v>0</v>
      </c>
      <c r="G24" s="141">
        <v>24.91</v>
      </c>
      <c r="H24" s="141">
        <v>1082.71</v>
      </c>
      <c r="I24" s="141">
        <v>1947.1100000000001</v>
      </c>
      <c r="J24" s="141">
        <v>3.14</v>
      </c>
      <c r="K24" s="141">
        <v>363.21</v>
      </c>
      <c r="L24" s="141">
        <v>0</v>
      </c>
      <c r="M24" s="141">
        <v>1.1200000000000001</v>
      </c>
      <c r="N24" s="141">
        <v>1950.2500000000002</v>
      </c>
      <c r="O24" s="141">
        <v>80.050000000000011</v>
      </c>
      <c r="P24" s="141">
        <v>0.12</v>
      </c>
      <c r="Q24" s="141">
        <v>0.12</v>
      </c>
      <c r="R24" s="141">
        <v>0</v>
      </c>
      <c r="S24" s="141">
        <v>2.77</v>
      </c>
      <c r="T24" s="141">
        <v>80.170000000000016</v>
      </c>
      <c r="U24" s="141">
        <v>3113.13</v>
      </c>
    </row>
    <row r="25" spans="1:21" s="145" customFormat="1" ht="38.25" customHeight="1" x14ac:dyDescent="0.4">
      <c r="A25" s="308" t="s">
        <v>95</v>
      </c>
      <c r="B25" s="309"/>
      <c r="C25" s="141">
        <v>4657.155999999999</v>
      </c>
      <c r="D25" s="141">
        <v>0.12</v>
      </c>
      <c r="E25" s="141">
        <v>6.32</v>
      </c>
      <c r="F25" s="141">
        <v>52.8</v>
      </c>
      <c r="G25" s="141">
        <v>89.2</v>
      </c>
      <c r="H25" s="141">
        <v>4604.4759999999987</v>
      </c>
      <c r="I25" s="141">
        <v>7612.9570000000003</v>
      </c>
      <c r="J25" s="141">
        <v>139.34</v>
      </c>
      <c r="K25" s="141">
        <v>731.29899999999998</v>
      </c>
      <c r="L25" s="141">
        <v>0.7</v>
      </c>
      <c r="M25" s="141">
        <v>1.82</v>
      </c>
      <c r="N25" s="141">
        <v>7751.5970000000007</v>
      </c>
      <c r="O25" s="141">
        <v>583.80800000000011</v>
      </c>
      <c r="P25" s="141">
        <v>0.12</v>
      </c>
      <c r="Q25" s="141">
        <v>0.73</v>
      </c>
      <c r="R25" s="141">
        <v>0</v>
      </c>
      <c r="S25" s="141">
        <v>9.48</v>
      </c>
      <c r="T25" s="141">
        <v>583.92800000000011</v>
      </c>
      <c r="U25" s="141">
        <v>12940.001</v>
      </c>
    </row>
    <row r="26" spans="1:21" ht="38.25" customHeight="1" x14ac:dyDescent="0.35">
      <c r="A26" s="171">
        <v>15</v>
      </c>
      <c r="B26" s="231" t="s">
        <v>96</v>
      </c>
      <c r="C26" s="139">
        <v>1568.3199999999997</v>
      </c>
      <c r="D26" s="139">
        <v>10.63</v>
      </c>
      <c r="E26" s="139">
        <v>25.97</v>
      </c>
      <c r="F26" s="139">
        <v>0</v>
      </c>
      <c r="G26" s="139">
        <v>0</v>
      </c>
      <c r="H26" s="139">
        <v>1578.9499999999998</v>
      </c>
      <c r="I26" s="139">
        <v>67.53</v>
      </c>
      <c r="J26" s="139">
        <v>0</v>
      </c>
      <c r="K26" s="139">
        <v>0.2</v>
      </c>
      <c r="L26" s="139">
        <v>0</v>
      </c>
      <c r="M26" s="139">
        <v>0</v>
      </c>
      <c r="N26" s="139">
        <v>67.53</v>
      </c>
      <c r="O26" s="139">
        <v>16.11</v>
      </c>
      <c r="P26" s="139">
        <v>0</v>
      </c>
      <c r="Q26" s="139">
        <v>0</v>
      </c>
      <c r="R26" s="139">
        <v>0</v>
      </c>
      <c r="S26" s="139">
        <v>0</v>
      </c>
      <c r="T26" s="139">
        <v>16.11</v>
      </c>
      <c r="U26" s="139">
        <v>1662.5899999999997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5615.3150000000023</v>
      </c>
      <c r="D27" s="139">
        <v>17.47</v>
      </c>
      <c r="E27" s="139">
        <v>56.08</v>
      </c>
      <c r="F27" s="139">
        <v>0</v>
      </c>
      <c r="G27" s="139">
        <v>0</v>
      </c>
      <c r="H27" s="139">
        <v>5632.7850000000026</v>
      </c>
      <c r="I27" s="139">
        <v>597.69799999999998</v>
      </c>
      <c r="J27" s="139">
        <v>3.75</v>
      </c>
      <c r="K27" s="139">
        <v>7.26</v>
      </c>
      <c r="L27" s="139">
        <v>0</v>
      </c>
      <c r="M27" s="139">
        <v>0</v>
      </c>
      <c r="N27" s="139">
        <v>601.44799999999998</v>
      </c>
      <c r="O27" s="139">
        <v>33.49</v>
      </c>
      <c r="P27" s="139">
        <v>0</v>
      </c>
      <c r="Q27" s="139">
        <v>0</v>
      </c>
      <c r="R27" s="139">
        <v>0</v>
      </c>
      <c r="S27" s="139">
        <v>0</v>
      </c>
      <c r="T27" s="139">
        <v>33.49</v>
      </c>
      <c r="U27" s="139">
        <v>6267.7230000000027</v>
      </c>
    </row>
    <row r="28" spans="1:21" s="111" customFormat="1" ht="38.25" customHeight="1" x14ac:dyDescent="0.4">
      <c r="A28" s="313" t="s">
        <v>98</v>
      </c>
      <c r="B28" s="313"/>
      <c r="C28" s="141">
        <v>7183.635000000002</v>
      </c>
      <c r="D28" s="141">
        <v>28.1</v>
      </c>
      <c r="E28" s="141">
        <v>82.05</v>
      </c>
      <c r="F28" s="141">
        <v>0</v>
      </c>
      <c r="G28" s="141">
        <v>0</v>
      </c>
      <c r="H28" s="141">
        <v>7211.7350000000024</v>
      </c>
      <c r="I28" s="141">
        <v>665.22799999999995</v>
      </c>
      <c r="J28" s="141">
        <v>3.75</v>
      </c>
      <c r="K28" s="141">
        <v>7.46</v>
      </c>
      <c r="L28" s="141">
        <v>0</v>
      </c>
      <c r="M28" s="141">
        <v>0</v>
      </c>
      <c r="N28" s="141">
        <v>668.97799999999995</v>
      </c>
      <c r="O28" s="141">
        <v>49.6</v>
      </c>
      <c r="P28" s="141">
        <v>0</v>
      </c>
      <c r="Q28" s="141">
        <v>0</v>
      </c>
      <c r="R28" s="141">
        <v>0</v>
      </c>
      <c r="S28" s="141">
        <v>0</v>
      </c>
      <c r="T28" s="141">
        <v>49.6</v>
      </c>
      <c r="U28" s="141">
        <v>7930.3130000000019</v>
      </c>
    </row>
    <row r="29" spans="1:21" ht="38.25" customHeight="1" x14ac:dyDescent="0.35">
      <c r="A29" s="171">
        <v>17</v>
      </c>
      <c r="B29" s="231" t="s">
        <v>99</v>
      </c>
      <c r="C29" s="139">
        <v>4672.3480000000009</v>
      </c>
      <c r="D29" s="139">
        <v>3.1</v>
      </c>
      <c r="E29" s="139">
        <v>21.98</v>
      </c>
      <c r="F29" s="139">
        <v>0</v>
      </c>
      <c r="G29" s="139">
        <v>0</v>
      </c>
      <c r="H29" s="139">
        <v>4675.4480000000012</v>
      </c>
      <c r="I29" s="139">
        <v>119.39</v>
      </c>
      <c r="J29" s="139">
        <v>0</v>
      </c>
      <c r="K29" s="139">
        <v>0</v>
      </c>
      <c r="L29" s="139">
        <v>0</v>
      </c>
      <c r="M29" s="139">
        <v>0</v>
      </c>
      <c r="N29" s="139">
        <v>119.39</v>
      </c>
      <c r="O29" s="139">
        <v>34.52000000000001</v>
      </c>
      <c r="P29" s="139">
        <v>0</v>
      </c>
      <c r="Q29" s="139">
        <v>0</v>
      </c>
      <c r="R29" s="139">
        <v>0</v>
      </c>
      <c r="S29" s="139">
        <v>23.2</v>
      </c>
      <c r="T29" s="139">
        <v>34.52000000000001</v>
      </c>
      <c r="U29" s="139">
        <v>4829.358000000002</v>
      </c>
    </row>
    <row r="30" spans="1:21" ht="38.25" customHeight="1" x14ac:dyDescent="0.35">
      <c r="A30" s="171">
        <v>18</v>
      </c>
      <c r="B30" s="231" t="s">
        <v>100</v>
      </c>
      <c r="C30" s="139">
        <v>3640.3199999999997</v>
      </c>
      <c r="D30" s="139">
        <v>6.31</v>
      </c>
      <c r="E30" s="139">
        <v>34.290000000000006</v>
      </c>
      <c r="F30" s="139">
        <v>0</v>
      </c>
      <c r="G30" s="139">
        <v>0</v>
      </c>
      <c r="H30" s="139">
        <v>3646.6299999999997</v>
      </c>
      <c r="I30" s="139">
        <v>110.587</v>
      </c>
      <c r="J30" s="139">
        <v>0</v>
      </c>
      <c r="K30" s="139">
        <v>0</v>
      </c>
      <c r="L30" s="139">
        <v>0</v>
      </c>
      <c r="M30" s="139">
        <v>0</v>
      </c>
      <c r="N30" s="139">
        <v>110.587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3780.4669999999996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4678.3290000000006</v>
      </c>
      <c r="D31" s="139">
        <v>0.56999999999999995</v>
      </c>
      <c r="E31" s="139">
        <v>13.32</v>
      </c>
      <c r="F31" s="139">
        <v>0</v>
      </c>
      <c r="G31" s="139">
        <v>0</v>
      </c>
      <c r="H31" s="139">
        <v>4678.8990000000003</v>
      </c>
      <c r="I31" s="139">
        <v>107.63000000000002</v>
      </c>
      <c r="J31" s="139">
        <v>0</v>
      </c>
      <c r="K31" s="139">
        <v>0</v>
      </c>
      <c r="L31" s="139">
        <v>0</v>
      </c>
      <c r="M31" s="139">
        <v>0</v>
      </c>
      <c r="N31" s="139">
        <v>107.63000000000002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4801.3790000000008</v>
      </c>
    </row>
    <row r="32" spans="1:21" ht="38.25" customHeight="1" x14ac:dyDescent="0.35">
      <c r="A32" s="171">
        <v>20</v>
      </c>
      <c r="B32" s="231" t="s">
        <v>102</v>
      </c>
      <c r="C32" s="139">
        <v>2343.7457999999992</v>
      </c>
      <c r="D32" s="139">
        <v>2.59</v>
      </c>
      <c r="E32" s="139">
        <v>13.2</v>
      </c>
      <c r="F32" s="139">
        <v>0</v>
      </c>
      <c r="G32" s="139">
        <v>9.7200000000000006</v>
      </c>
      <c r="H32" s="139">
        <v>2346.3357999999994</v>
      </c>
      <c r="I32" s="139">
        <v>85.545999999999992</v>
      </c>
      <c r="J32" s="139">
        <v>0.65</v>
      </c>
      <c r="K32" s="139">
        <v>3.43</v>
      </c>
      <c r="L32" s="139">
        <v>0</v>
      </c>
      <c r="M32" s="139">
        <v>0</v>
      </c>
      <c r="N32" s="139">
        <v>86.195999999999998</v>
      </c>
      <c r="O32" s="139">
        <v>67.551999999999992</v>
      </c>
      <c r="P32" s="139">
        <v>0</v>
      </c>
      <c r="Q32" s="139">
        <v>0</v>
      </c>
      <c r="R32" s="139">
        <v>0</v>
      </c>
      <c r="S32" s="139">
        <v>0</v>
      </c>
      <c r="T32" s="139">
        <v>67.551999999999992</v>
      </c>
      <c r="U32" s="139">
        <v>2500.0837999999994</v>
      </c>
    </row>
    <row r="33" spans="1:21" s="111" customFormat="1" ht="38.25" customHeight="1" x14ac:dyDescent="0.4">
      <c r="A33" s="313" t="s">
        <v>99</v>
      </c>
      <c r="B33" s="313"/>
      <c r="C33" s="141">
        <v>15334.742800000002</v>
      </c>
      <c r="D33" s="141">
        <v>12.57</v>
      </c>
      <c r="E33" s="141">
        <v>82.79</v>
      </c>
      <c r="F33" s="141">
        <v>0</v>
      </c>
      <c r="G33" s="141">
        <v>9.7200000000000006</v>
      </c>
      <c r="H33" s="141">
        <v>15347.312800000002</v>
      </c>
      <c r="I33" s="141">
        <v>423.15300000000002</v>
      </c>
      <c r="J33" s="141">
        <v>0.65</v>
      </c>
      <c r="K33" s="141">
        <v>3.43</v>
      </c>
      <c r="L33" s="141">
        <v>0</v>
      </c>
      <c r="M33" s="141">
        <v>0</v>
      </c>
      <c r="N33" s="141">
        <v>423.803</v>
      </c>
      <c r="O33" s="141">
        <v>140.172</v>
      </c>
      <c r="P33" s="141">
        <v>0</v>
      </c>
      <c r="Q33" s="141">
        <v>0</v>
      </c>
      <c r="R33" s="141">
        <v>0</v>
      </c>
      <c r="S33" s="141">
        <v>23.2</v>
      </c>
      <c r="T33" s="141">
        <v>140.172</v>
      </c>
      <c r="U33" s="141">
        <v>15911.287800000002</v>
      </c>
    </row>
    <row r="34" spans="1:21" ht="38.25" customHeight="1" x14ac:dyDescent="0.35">
      <c r="A34" s="171">
        <v>21</v>
      </c>
      <c r="B34" s="231" t="s">
        <v>103</v>
      </c>
      <c r="C34" s="139">
        <v>4507.79</v>
      </c>
      <c r="D34" s="139">
        <v>15.92</v>
      </c>
      <c r="E34" s="139">
        <v>84.61</v>
      </c>
      <c r="F34" s="139">
        <v>0</v>
      </c>
      <c r="G34" s="139">
        <v>0</v>
      </c>
      <c r="H34" s="139">
        <v>4523.71</v>
      </c>
      <c r="I34" s="139">
        <v>22.14</v>
      </c>
      <c r="J34" s="139">
        <v>62.3</v>
      </c>
      <c r="K34" s="139">
        <v>84.44</v>
      </c>
      <c r="L34" s="139">
        <v>0</v>
      </c>
      <c r="M34" s="139">
        <v>0</v>
      </c>
      <c r="N34" s="139">
        <v>84.44</v>
      </c>
      <c r="O34" s="139">
        <v>72.7</v>
      </c>
      <c r="P34" s="139">
        <v>0</v>
      </c>
      <c r="Q34" s="139">
        <v>72.7</v>
      </c>
      <c r="R34" s="139">
        <v>0</v>
      </c>
      <c r="S34" s="139">
        <v>0</v>
      </c>
      <c r="T34" s="139">
        <v>72.7</v>
      </c>
      <c r="U34" s="139">
        <v>4680.8499999999995</v>
      </c>
    </row>
    <row r="35" spans="1:21" ht="38.25" customHeight="1" x14ac:dyDescent="0.35">
      <c r="A35" s="171">
        <v>22</v>
      </c>
      <c r="B35" s="231" t="s">
        <v>104</v>
      </c>
      <c r="C35" s="139">
        <v>6346.4099999999971</v>
      </c>
      <c r="D35" s="139">
        <v>24.67</v>
      </c>
      <c r="E35" s="139">
        <v>161.5</v>
      </c>
      <c r="F35" s="139">
        <v>0</v>
      </c>
      <c r="G35" s="139">
        <v>0</v>
      </c>
      <c r="H35" s="139">
        <v>6371.0799999999972</v>
      </c>
      <c r="I35" s="139">
        <v>33.68</v>
      </c>
      <c r="J35" s="139">
        <v>0</v>
      </c>
      <c r="K35" s="139">
        <v>26.76</v>
      </c>
      <c r="L35" s="139">
        <v>0</v>
      </c>
      <c r="M35" s="139">
        <v>0</v>
      </c>
      <c r="N35" s="139">
        <v>33.68</v>
      </c>
      <c r="O35" s="139">
        <v>90.800000000000011</v>
      </c>
      <c r="P35" s="139">
        <v>0</v>
      </c>
      <c r="Q35" s="139">
        <v>32.380000000000003</v>
      </c>
      <c r="R35" s="139">
        <v>0</v>
      </c>
      <c r="S35" s="139">
        <v>0</v>
      </c>
      <c r="T35" s="139">
        <v>90.800000000000011</v>
      </c>
      <c r="U35" s="139">
        <v>6495.5599999999977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3533.88</v>
      </c>
      <c r="D36" s="139">
        <v>14.54</v>
      </c>
      <c r="E36" s="139">
        <v>97.32</v>
      </c>
      <c r="F36" s="139">
        <v>0</v>
      </c>
      <c r="G36" s="139">
        <v>0</v>
      </c>
      <c r="H36" s="139">
        <v>3548.42</v>
      </c>
      <c r="I36" s="139">
        <v>30.250000000000039</v>
      </c>
      <c r="J36" s="139">
        <v>0</v>
      </c>
      <c r="K36" s="139">
        <v>5.2</v>
      </c>
      <c r="L36" s="139">
        <v>0</v>
      </c>
      <c r="M36" s="139">
        <v>4.63</v>
      </c>
      <c r="N36" s="139">
        <v>30.250000000000039</v>
      </c>
      <c r="O36" s="139">
        <v>36.379999999999995</v>
      </c>
      <c r="P36" s="139">
        <v>0</v>
      </c>
      <c r="Q36" s="139">
        <v>19.29</v>
      </c>
      <c r="R36" s="139">
        <v>0</v>
      </c>
      <c r="S36" s="139">
        <v>0</v>
      </c>
      <c r="T36" s="139">
        <v>36.379999999999995</v>
      </c>
      <c r="U36" s="139">
        <v>3615.05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4854.569999999997</v>
      </c>
      <c r="D37" s="139">
        <v>19.559999999999999</v>
      </c>
      <c r="E37" s="139">
        <v>86.009999999999991</v>
      </c>
      <c r="F37" s="139">
        <v>0</v>
      </c>
      <c r="G37" s="139">
        <v>0</v>
      </c>
      <c r="H37" s="139">
        <v>4874.1299999999974</v>
      </c>
      <c r="I37" s="139">
        <v>26.700000000000003</v>
      </c>
      <c r="J37" s="139">
        <v>0</v>
      </c>
      <c r="K37" s="139">
        <v>14.27</v>
      </c>
      <c r="L37" s="139">
        <v>0</v>
      </c>
      <c r="M37" s="139">
        <v>1.06</v>
      </c>
      <c r="N37" s="139">
        <v>26.700000000000003</v>
      </c>
      <c r="O37" s="139">
        <v>3.0599999999999996</v>
      </c>
      <c r="P37" s="139">
        <v>0</v>
      </c>
      <c r="Q37" s="139">
        <v>0</v>
      </c>
      <c r="R37" s="139">
        <v>0</v>
      </c>
      <c r="S37" s="139">
        <v>3.46</v>
      </c>
      <c r="T37" s="139">
        <v>3.0599999999999996</v>
      </c>
      <c r="U37" s="139">
        <v>4903.8899999999976</v>
      </c>
    </row>
    <row r="38" spans="1:21" s="111" customFormat="1" ht="38.25" customHeight="1" x14ac:dyDescent="0.4">
      <c r="A38" s="313" t="s">
        <v>107</v>
      </c>
      <c r="B38" s="313"/>
      <c r="C38" s="141">
        <v>19242.649999999994</v>
      </c>
      <c r="D38" s="141">
        <v>74.69</v>
      </c>
      <c r="E38" s="141">
        <v>429.44</v>
      </c>
      <c r="F38" s="141">
        <v>0</v>
      </c>
      <c r="G38" s="141">
        <v>0</v>
      </c>
      <c r="H38" s="141">
        <v>19317.339999999997</v>
      </c>
      <c r="I38" s="141">
        <v>112.77000000000004</v>
      </c>
      <c r="J38" s="141">
        <v>62.3</v>
      </c>
      <c r="K38" s="141">
        <v>130.67000000000002</v>
      </c>
      <c r="L38" s="141">
        <v>0</v>
      </c>
      <c r="M38" s="141">
        <v>5.6899999999999995</v>
      </c>
      <c r="N38" s="141">
        <v>175.07000000000005</v>
      </c>
      <c r="O38" s="141">
        <v>202.94</v>
      </c>
      <c r="P38" s="141">
        <v>0</v>
      </c>
      <c r="Q38" s="141">
        <v>124.37</v>
      </c>
      <c r="R38" s="141">
        <v>0</v>
      </c>
      <c r="S38" s="141">
        <v>3.46</v>
      </c>
      <c r="T38" s="141">
        <v>202.94</v>
      </c>
      <c r="U38" s="141">
        <v>19695.349999999991</v>
      </c>
    </row>
    <row r="39" spans="1:21" s="145" customFormat="1" ht="38.25" customHeight="1" x14ac:dyDescent="0.4">
      <c r="A39" s="313" t="s">
        <v>108</v>
      </c>
      <c r="B39" s="313"/>
      <c r="C39" s="141">
        <v>41761.027799999996</v>
      </c>
      <c r="D39" s="141">
        <v>115.35999999999999</v>
      </c>
      <c r="E39" s="141">
        <v>594.28</v>
      </c>
      <c r="F39" s="141">
        <v>0</v>
      </c>
      <c r="G39" s="141">
        <v>9.7200000000000006</v>
      </c>
      <c r="H39" s="141">
        <v>41876.387799999997</v>
      </c>
      <c r="I39" s="141">
        <v>1201.1509999999998</v>
      </c>
      <c r="J39" s="141">
        <v>66.699999999999989</v>
      </c>
      <c r="K39" s="141">
        <v>141.56000000000003</v>
      </c>
      <c r="L39" s="141">
        <v>0</v>
      </c>
      <c r="M39" s="141">
        <v>5.6899999999999995</v>
      </c>
      <c r="N39" s="141">
        <v>1267.8510000000001</v>
      </c>
      <c r="O39" s="141">
        <v>392.71199999999999</v>
      </c>
      <c r="P39" s="141">
        <v>0</v>
      </c>
      <c r="Q39" s="141">
        <v>124.37</v>
      </c>
      <c r="R39" s="141">
        <v>0</v>
      </c>
      <c r="S39" s="141">
        <v>26.66</v>
      </c>
      <c r="T39" s="141">
        <v>392.71199999999999</v>
      </c>
      <c r="U39" s="141">
        <v>43536.950799999999</v>
      </c>
    </row>
    <row r="40" spans="1:21" ht="38.25" customHeight="1" x14ac:dyDescent="0.35">
      <c r="A40" s="171">
        <v>25</v>
      </c>
      <c r="B40" s="231" t="s">
        <v>109</v>
      </c>
      <c r="C40" s="139">
        <v>11577.243999999999</v>
      </c>
      <c r="D40" s="139">
        <v>128.91999999999999</v>
      </c>
      <c r="E40" s="139">
        <v>315.72000000000003</v>
      </c>
      <c r="F40" s="139">
        <v>0</v>
      </c>
      <c r="G40" s="139">
        <v>0</v>
      </c>
      <c r="H40" s="139">
        <v>11706.163999999999</v>
      </c>
      <c r="I40" s="139">
        <v>198.73</v>
      </c>
      <c r="J40" s="139">
        <v>0</v>
      </c>
      <c r="K40" s="139">
        <v>0</v>
      </c>
      <c r="L40" s="139">
        <v>0</v>
      </c>
      <c r="M40" s="139">
        <v>0</v>
      </c>
      <c r="N40" s="139">
        <v>198.73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11904.893999999998</v>
      </c>
    </row>
    <row r="41" spans="1:21" ht="38.25" customHeight="1" x14ac:dyDescent="0.35">
      <c r="A41" s="171">
        <v>26</v>
      </c>
      <c r="B41" s="231" t="s">
        <v>110</v>
      </c>
      <c r="C41" s="139">
        <v>7737.6369999999943</v>
      </c>
      <c r="D41" s="139">
        <v>132.99</v>
      </c>
      <c r="E41" s="139">
        <v>372.59000000000003</v>
      </c>
      <c r="F41" s="139">
        <v>0</v>
      </c>
      <c r="G41" s="139">
        <v>0</v>
      </c>
      <c r="H41" s="139">
        <v>7870.626999999994</v>
      </c>
      <c r="I41" s="139">
        <v>8.67</v>
      </c>
      <c r="J41" s="139">
        <v>0</v>
      </c>
      <c r="K41" s="139">
        <v>0</v>
      </c>
      <c r="L41" s="139">
        <v>0</v>
      </c>
      <c r="M41" s="139">
        <v>0</v>
      </c>
      <c r="N41" s="139">
        <v>8.67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7879.2969999999941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13841.288999999995</v>
      </c>
      <c r="D42" s="139">
        <v>11.1</v>
      </c>
      <c r="E42" s="139">
        <v>46.95</v>
      </c>
      <c r="F42" s="139">
        <v>0</v>
      </c>
      <c r="G42" s="139">
        <v>0</v>
      </c>
      <c r="H42" s="139">
        <v>13852.388999999996</v>
      </c>
      <c r="I42" s="139">
        <v>15.62</v>
      </c>
      <c r="J42" s="139">
        <v>0</v>
      </c>
      <c r="K42" s="139">
        <v>0</v>
      </c>
      <c r="L42" s="139">
        <v>0</v>
      </c>
      <c r="M42" s="139">
        <v>0</v>
      </c>
      <c r="N42" s="139">
        <v>15.62</v>
      </c>
      <c r="O42" s="139">
        <v>39.019999999999996</v>
      </c>
      <c r="P42" s="139">
        <v>0</v>
      </c>
      <c r="Q42" s="139">
        <v>0</v>
      </c>
      <c r="R42" s="139">
        <v>0</v>
      </c>
      <c r="S42" s="139">
        <v>0</v>
      </c>
      <c r="T42" s="139">
        <v>39.019999999999996</v>
      </c>
      <c r="U42" s="139">
        <v>13907.028999999997</v>
      </c>
    </row>
    <row r="43" spans="1:21" ht="38.25" customHeight="1" x14ac:dyDescent="0.35">
      <c r="A43" s="171">
        <v>28</v>
      </c>
      <c r="B43" s="231" t="s">
        <v>112</v>
      </c>
      <c r="C43" s="139">
        <v>3985.2000000000012</v>
      </c>
      <c r="D43" s="139">
        <v>8.06</v>
      </c>
      <c r="E43" s="139">
        <v>25.78</v>
      </c>
      <c r="F43" s="139">
        <v>0</v>
      </c>
      <c r="G43" s="139">
        <v>0</v>
      </c>
      <c r="H43" s="139">
        <v>3993.2600000000011</v>
      </c>
      <c r="I43" s="139">
        <v>3.5</v>
      </c>
      <c r="J43" s="139">
        <v>0</v>
      </c>
      <c r="K43" s="139">
        <v>0</v>
      </c>
      <c r="L43" s="139">
        <v>0</v>
      </c>
      <c r="M43" s="139">
        <v>0</v>
      </c>
      <c r="N43" s="139">
        <v>3.5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3996.7600000000011</v>
      </c>
    </row>
    <row r="44" spans="1:21" s="111" customFormat="1" ht="38.25" customHeight="1" x14ac:dyDescent="0.4">
      <c r="A44" s="313" t="s">
        <v>109</v>
      </c>
      <c r="B44" s="313"/>
      <c r="C44" s="141">
        <v>37141.369999999995</v>
      </c>
      <c r="D44" s="141">
        <v>281.07</v>
      </c>
      <c r="E44" s="141">
        <v>761.04000000000008</v>
      </c>
      <c r="F44" s="141">
        <v>0</v>
      </c>
      <c r="G44" s="141">
        <v>0</v>
      </c>
      <c r="H44" s="141">
        <v>37422.439999999995</v>
      </c>
      <c r="I44" s="141">
        <v>226.51999999999998</v>
      </c>
      <c r="J44" s="141">
        <v>0</v>
      </c>
      <c r="K44" s="141">
        <v>0</v>
      </c>
      <c r="L44" s="141">
        <v>0</v>
      </c>
      <c r="M44" s="141">
        <v>0</v>
      </c>
      <c r="N44" s="141">
        <v>226.51999999999998</v>
      </c>
      <c r="O44" s="141">
        <v>39.019999999999996</v>
      </c>
      <c r="P44" s="141">
        <v>0</v>
      </c>
      <c r="Q44" s="141">
        <v>0</v>
      </c>
      <c r="R44" s="141">
        <v>0</v>
      </c>
      <c r="S44" s="141">
        <v>0</v>
      </c>
      <c r="T44" s="141">
        <v>39.019999999999996</v>
      </c>
      <c r="U44" s="141">
        <v>37687.979999999989</v>
      </c>
    </row>
    <row r="45" spans="1:21" ht="38.25" customHeight="1" x14ac:dyDescent="0.35">
      <c r="A45" s="171">
        <v>29</v>
      </c>
      <c r="B45" s="231" t="s">
        <v>113</v>
      </c>
      <c r="C45" s="139">
        <v>8101.4321000000009</v>
      </c>
      <c r="D45" s="139">
        <v>13.17</v>
      </c>
      <c r="E45" s="139">
        <v>62.620000000000005</v>
      </c>
      <c r="F45" s="139">
        <v>0</v>
      </c>
      <c r="G45" s="139">
        <v>0</v>
      </c>
      <c r="H45" s="139">
        <v>8114.602100000001</v>
      </c>
      <c r="I45" s="139">
        <v>42.14</v>
      </c>
      <c r="J45" s="139">
        <v>0.06</v>
      </c>
      <c r="K45" s="139">
        <v>0.28000000000000003</v>
      </c>
      <c r="L45" s="139">
        <v>0</v>
      </c>
      <c r="M45" s="139">
        <v>0</v>
      </c>
      <c r="N45" s="139">
        <v>42.2</v>
      </c>
      <c r="O45" s="139">
        <v>14.75</v>
      </c>
      <c r="P45" s="139">
        <v>0.03</v>
      </c>
      <c r="Q45" s="139">
        <v>0.03</v>
      </c>
      <c r="R45" s="139">
        <v>0</v>
      </c>
      <c r="S45" s="139">
        <v>0</v>
      </c>
      <c r="T45" s="139">
        <v>14.78</v>
      </c>
      <c r="U45" s="139">
        <v>8171.5821000000005</v>
      </c>
    </row>
    <row r="46" spans="1:21" ht="38.25" customHeight="1" x14ac:dyDescent="0.35">
      <c r="A46" s="171">
        <v>30</v>
      </c>
      <c r="B46" s="231" t="s">
        <v>114</v>
      </c>
      <c r="C46" s="139">
        <v>7772.8450000000021</v>
      </c>
      <c r="D46" s="139">
        <v>5.4</v>
      </c>
      <c r="E46" s="139">
        <v>39.75</v>
      </c>
      <c r="F46" s="139">
        <v>0</v>
      </c>
      <c r="G46" s="139">
        <v>0</v>
      </c>
      <c r="H46" s="139">
        <v>7778.2450000000017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7778.2450000000017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8904.0700000000015</v>
      </c>
      <c r="D47" s="139">
        <v>10.72</v>
      </c>
      <c r="E47" s="139">
        <v>130.15</v>
      </c>
      <c r="F47" s="139">
        <v>0</v>
      </c>
      <c r="G47" s="139">
        <v>0</v>
      </c>
      <c r="H47" s="139">
        <v>8914.7900000000009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8917.9500000000007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8571.3490000000002</v>
      </c>
      <c r="D48" s="139">
        <v>0</v>
      </c>
      <c r="E48" s="139">
        <v>374.56</v>
      </c>
      <c r="F48" s="139">
        <v>0</v>
      </c>
      <c r="G48" s="139">
        <v>0</v>
      </c>
      <c r="H48" s="139">
        <v>8571.3490000000002</v>
      </c>
      <c r="I48" s="139">
        <v>5.0249999999999995</v>
      </c>
      <c r="J48" s="139">
        <v>0</v>
      </c>
      <c r="K48" s="139">
        <v>0</v>
      </c>
      <c r="L48" s="139">
        <v>0</v>
      </c>
      <c r="M48" s="139">
        <v>0</v>
      </c>
      <c r="N48" s="139">
        <v>5.0249999999999995</v>
      </c>
      <c r="O48" s="139">
        <v>4.21</v>
      </c>
      <c r="P48" s="139">
        <v>0</v>
      </c>
      <c r="Q48" s="139">
        <v>4.21</v>
      </c>
      <c r="R48" s="139">
        <v>0</v>
      </c>
      <c r="S48" s="139">
        <v>0</v>
      </c>
      <c r="T48" s="139">
        <v>4.21</v>
      </c>
      <c r="U48" s="139">
        <v>8580.5839999999989</v>
      </c>
    </row>
    <row r="49" spans="1:21" s="111" customFormat="1" ht="38.25" customHeight="1" x14ac:dyDescent="0.4">
      <c r="A49" s="313" t="s">
        <v>117</v>
      </c>
      <c r="B49" s="313"/>
      <c r="C49" s="141">
        <v>33349.696100000008</v>
      </c>
      <c r="D49" s="141">
        <v>29.29</v>
      </c>
      <c r="E49" s="141">
        <v>607.08000000000004</v>
      </c>
      <c r="F49" s="141">
        <v>0</v>
      </c>
      <c r="G49" s="141">
        <v>0</v>
      </c>
      <c r="H49" s="141">
        <v>33378.986100000002</v>
      </c>
      <c r="I49" s="141">
        <v>50.295000000000002</v>
      </c>
      <c r="J49" s="141">
        <v>0.06</v>
      </c>
      <c r="K49" s="141">
        <v>0.28000000000000003</v>
      </c>
      <c r="L49" s="141">
        <v>0</v>
      </c>
      <c r="M49" s="141">
        <v>0</v>
      </c>
      <c r="N49" s="141">
        <v>50.355000000000004</v>
      </c>
      <c r="O49" s="141">
        <v>18.989999999999998</v>
      </c>
      <c r="P49" s="141">
        <v>0.03</v>
      </c>
      <c r="Q49" s="141">
        <v>4.24</v>
      </c>
      <c r="R49" s="141">
        <v>0</v>
      </c>
      <c r="S49" s="141">
        <v>0</v>
      </c>
      <c r="T49" s="141">
        <v>19.02</v>
      </c>
      <c r="U49" s="141">
        <v>33448.361100000002</v>
      </c>
    </row>
    <row r="50" spans="1:21" s="145" customFormat="1" ht="38.25" customHeight="1" x14ac:dyDescent="0.4">
      <c r="A50" s="313" t="s">
        <v>118</v>
      </c>
      <c r="B50" s="313"/>
      <c r="C50" s="141">
        <v>70491.066099999996</v>
      </c>
      <c r="D50" s="141">
        <v>310.36</v>
      </c>
      <c r="E50" s="141">
        <v>1368.1200000000001</v>
      </c>
      <c r="F50" s="141">
        <v>0</v>
      </c>
      <c r="G50" s="141">
        <v>0</v>
      </c>
      <c r="H50" s="141">
        <v>70801.426099999997</v>
      </c>
      <c r="I50" s="141">
        <v>276.815</v>
      </c>
      <c r="J50" s="141">
        <v>0.06</v>
      </c>
      <c r="K50" s="141">
        <v>0.28000000000000003</v>
      </c>
      <c r="L50" s="141">
        <v>0</v>
      </c>
      <c r="M50" s="141">
        <v>0</v>
      </c>
      <c r="N50" s="141">
        <v>276.875</v>
      </c>
      <c r="O50" s="141">
        <v>58.009999999999991</v>
      </c>
      <c r="P50" s="141">
        <v>0.03</v>
      </c>
      <c r="Q50" s="141">
        <v>4.24</v>
      </c>
      <c r="R50" s="141">
        <v>0</v>
      </c>
      <c r="S50" s="141">
        <v>0</v>
      </c>
      <c r="T50" s="141">
        <v>58.039999999999992</v>
      </c>
      <c r="U50" s="141">
        <v>71136.341099999991</v>
      </c>
    </row>
    <row r="51" spans="1:21" s="146" customFormat="1" ht="38.25" customHeight="1" x14ac:dyDescent="0.4">
      <c r="A51" s="313" t="s">
        <v>119</v>
      </c>
      <c r="B51" s="313"/>
      <c r="C51" s="141">
        <v>116909.2499</v>
      </c>
      <c r="D51" s="141">
        <v>425.84000000000003</v>
      </c>
      <c r="E51" s="141">
        <v>1968.72</v>
      </c>
      <c r="F51" s="141">
        <v>52.8</v>
      </c>
      <c r="G51" s="141">
        <v>98.92</v>
      </c>
      <c r="H51" s="141">
        <v>117282.28989999999</v>
      </c>
      <c r="I51" s="141">
        <v>9090.9230000000007</v>
      </c>
      <c r="J51" s="141">
        <v>206.1</v>
      </c>
      <c r="K51" s="141">
        <v>873.13900000000001</v>
      </c>
      <c r="L51" s="141">
        <v>0.7</v>
      </c>
      <c r="M51" s="141">
        <v>7.51</v>
      </c>
      <c r="N51" s="141">
        <v>9296.3230000000003</v>
      </c>
      <c r="O51" s="141">
        <v>1034.5300000000002</v>
      </c>
      <c r="P51" s="141">
        <v>0.15</v>
      </c>
      <c r="Q51" s="141">
        <v>129.34</v>
      </c>
      <c r="R51" s="141">
        <v>0</v>
      </c>
      <c r="S51" s="141">
        <v>36.14</v>
      </c>
      <c r="T51" s="141">
        <v>1034.68</v>
      </c>
      <c r="U51" s="141">
        <v>127613.29289999999</v>
      </c>
    </row>
    <row r="52" spans="1:21" s="111" customFormat="1" ht="24" customHeight="1" x14ac:dyDescent="0.4">
      <c r="A52" s="115"/>
      <c r="B52" s="115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</row>
    <row r="53" spans="1:21" s="111" customFormat="1" ht="19.5" customHeight="1" x14ac:dyDescent="0.4">
      <c r="A53" s="115"/>
      <c r="B53" s="115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</row>
    <row r="54" spans="1:21" s="115" customFormat="1" ht="24.75" hidden="1" customHeight="1" x14ac:dyDescent="0.4">
      <c r="B54" s="241"/>
      <c r="C54" s="278" t="s">
        <v>54</v>
      </c>
      <c r="D54" s="278"/>
      <c r="E54" s="278"/>
      <c r="F54" s="278"/>
      <c r="G54" s="278"/>
      <c r="H54" s="118"/>
      <c r="I54" s="241"/>
      <c r="J54" s="241">
        <f>D51+J51+P51-F51-L51-R51</f>
        <v>578.59</v>
      </c>
      <c r="K54" s="241"/>
      <c r="L54" s="241"/>
      <c r="M54" s="241"/>
      <c r="N54" s="241"/>
      <c r="R54" s="241"/>
      <c r="U54" s="241"/>
    </row>
    <row r="55" spans="1:21" s="115" customFormat="1" ht="30" hidden="1" customHeight="1" x14ac:dyDescent="0.35">
      <c r="B55" s="241"/>
      <c r="C55" s="278" t="s">
        <v>55</v>
      </c>
      <c r="D55" s="278"/>
      <c r="E55" s="278"/>
      <c r="F55" s="278"/>
      <c r="G55" s="278"/>
      <c r="H55" s="119"/>
      <c r="I55" s="241"/>
      <c r="J55" s="241">
        <f>E51+K51+Q51-G51-M51-S51</f>
        <v>2828.6289999999999</v>
      </c>
      <c r="K55" s="241"/>
      <c r="L55" s="241"/>
      <c r="M55" s="241"/>
      <c r="N55" s="241"/>
      <c r="R55" s="241"/>
      <c r="T55" s="241"/>
    </row>
    <row r="56" spans="1:21" ht="33" hidden="1" customHeight="1" x14ac:dyDescent="0.5">
      <c r="C56" s="278" t="s">
        <v>56</v>
      </c>
      <c r="D56" s="278"/>
      <c r="E56" s="278"/>
      <c r="F56" s="278"/>
      <c r="G56" s="278"/>
      <c r="H56" s="119"/>
      <c r="I56" s="121"/>
      <c r="J56" s="241">
        <f>H51+N51+T51</f>
        <v>127613.29289999999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41"/>
      <c r="E57" s="241"/>
      <c r="F57" s="241"/>
      <c r="G57" s="241"/>
      <c r="H57" s="119"/>
      <c r="I57" s="121"/>
      <c r="J57" s="241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41"/>
      <c r="E58" s="241"/>
      <c r="F58" s="241"/>
      <c r="G58" s="241"/>
      <c r="H58" s="119"/>
      <c r="I58" s="121"/>
      <c r="J58" s="241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87" t="s">
        <v>57</v>
      </c>
      <c r="C59" s="287"/>
      <c r="D59" s="287"/>
      <c r="E59" s="287"/>
      <c r="F59" s="287"/>
      <c r="G59" s="153"/>
      <c r="H59" s="154"/>
      <c r="I59" s="155"/>
      <c r="J59" s="288"/>
      <c r="K59" s="286"/>
      <c r="L59" s="286"/>
      <c r="M59" s="169" t="e">
        <f>#REF!+'dec-2021'!J54</f>
        <v>#REF!</v>
      </c>
      <c r="N59" s="154"/>
      <c r="O59" s="154"/>
      <c r="P59" s="244"/>
      <c r="Q59" s="287" t="s">
        <v>58</v>
      </c>
      <c r="R59" s="287"/>
      <c r="S59" s="287"/>
      <c r="T59" s="287"/>
      <c r="U59" s="287"/>
    </row>
    <row r="60" spans="1:21" s="152" customFormat="1" ht="37.5" hidden="1" customHeight="1" x14ac:dyDescent="0.45">
      <c r="B60" s="287" t="s">
        <v>59</v>
      </c>
      <c r="C60" s="287"/>
      <c r="D60" s="287"/>
      <c r="E60" s="287"/>
      <c r="F60" s="287"/>
      <c r="G60" s="154"/>
      <c r="H60" s="153"/>
      <c r="I60" s="156"/>
      <c r="J60" s="157"/>
      <c r="K60" s="243"/>
      <c r="L60" s="157"/>
      <c r="M60" s="154"/>
      <c r="N60" s="153"/>
      <c r="O60" s="154"/>
      <c r="P60" s="244"/>
      <c r="Q60" s="287" t="s">
        <v>59</v>
      </c>
      <c r="R60" s="287"/>
      <c r="S60" s="287"/>
      <c r="T60" s="287"/>
      <c r="U60" s="287"/>
    </row>
    <row r="61" spans="1:21" s="152" customFormat="1" ht="37.5" hidden="1" customHeight="1" x14ac:dyDescent="0.45">
      <c r="I61" s="158"/>
      <c r="J61" s="286" t="s">
        <v>61</v>
      </c>
      <c r="K61" s="286"/>
      <c r="L61" s="286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86" t="s">
        <v>62</v>
      </c>
      <c r="K62" s="286"/>
      <c r="L62" s="286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7" right="0.7" top="0.75" bottom="0.75" header="0.3" footer="0.3"/>
  <pageSetup paperSize="9" scale="15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zoomScale="60" zoomScaleNormal="55" workbookViewId="0">
      <selection activeCell="G8" sqref="G8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151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53" t="s">
        <v>122</v>
      </c>
      <c r="B4" s="355" t="s">
        <v>121</v>
      </c>
      <c r="C4" s="358" t="s">
        <v>131</v>
      </c>
      <c r="D4" s="359"/>
      <c r="E4" s="359"/>
      <c r="F4" s="359"/>
      <c r="G4" s="359"/>
      <c r="H4" s="359"/>
      <c r="I4" s="358" t="s">
        <v>146</v>
      </c>
      <c r="J4" s="359"/>
      <c r="K4" s="359"/>
      <c r="L4" s="359"/>
      <c r="M4" s="359"/>
      <c r="N4" s="359"/>
      <c r="O4" s="358" t="s">
        <v>147</v>
      </c>
      <c r="P4" s="359"/>
      <c r="Q4" s="359"/>
      <c r="R4" s="359"/>
      <c r="S4" s="359"/>
      <c r="T4" s="359"/>
      <c r="U4" s="242"/>
    </row>
    <row r="5" spans="1:21" s="108" customFormat="1" ht="54.75" customHeight="1" x14ac:dyDescent="0.25">
      <c r="A5" s="354"/>
      <c r="B5" s="356"/>
      <c r="C5" s="349" t="s">
        <v>6</v>
      </c>
      <c r="D5" s="351" t="s">
        <v>127</v>
      </c>
      <c r="E5" s="352"/>
      <c r="F5" s="351" t="s">
        <v>126</v>
      </c>
      <c r="G5" s="352"/>
      <c r="H5" s="349" t="s">
        <v>9</v>
      </c>
      <c r="I5" s="349" t="s">
        <v>6</v>
      </c>
      <c r="J5" s="351" t="s">
        <v>127</v>
      </c>
      <c r="K5" s="352"/>
      <c r="L5" s="351" t="s">
        <v>126</v>
      </c>
      <c r="M5" s="352"/>
      <c r="N5" s="349" t="s">
        <v>9</v>
      </c>
      <c r="O5" s="349" t="s">
        <v>6</v>
      </c>
      <c r="P5" s="351" t="s">
        <v>127</v>
      </c>
      <c r="Q5" s="352"/>
      <c r="R5" s="351" t="s">
        <v>126</v>
      </c>
      <c r="S5" s="352"/>
      <c r="T5" s="349" t="s">
        <v>9</v>
      </c>
      <c r="U5" s="355" t="s">
        <v>128</v>
      </c>
    </row>
    <row r="6" spans="1:21" s="108" customFormat="1" ht="38.25" customHeight="1" x14ac:dyDescent="0.25">
      <c r="A6" s="354"/>
      <c r="B6" s="357"/>
      <c r="C6" s="350"/>
      <c r="D6" s="231" t="s">
        <v>124</v>
      </c>
      <c r="E6" s="231" t="s">
        <v>125</v>
      </c>
      <c r="F6" s="231" t="s">
        <v>124</v>
      </c>
      <c r="G6" s="231" t="s">
        <v>125</v>
      </c>
      <c r="H6" s="350"/>
      <c r="I6" s="350"/>
      <c r="J6" s="231" t="s">
        <v>124</v>
      </c>
      <c r="K6" s="231" t="s">
        <v>125</v>
      </c>
      <c r="L6" s="231" t="s">
        <v>124</v>
      </c>
      <c r="M6" s="231" t="s">
        <v>125</v>
      </c>
      <c r="N6" s="350"/>
      <c r="O6" s="350"/>
      <c r="P6" s="231" t="s">
        <v>124</v>
      </c>
      <c r="Q6" s="231" t="s">
        <v>125</v>
      </c>
      <c r="R6" s="231" t="s">
        <v>124</v>
      </c>
      <c r="S6" s="231" t="s">
        <v>125</v>
      </c>
      <c r="T6" s="350"/>
      <c r="U6" s="357"/>
    </row>
    <row r="7" spans="1:21" ht="38.25" customHeight="1" x14ac:dyDescent="0.35">
      <c r="A7" s="230">
        <v>1</v>
      </c>
      <c r="B7" s="231" t="s">
        <v>78</v>
      </c>
      <c r="C7" s="139">
        <v>48.239999999999981</v>
      </c>
      <c r="D7" s="139">
        <v>0</v>
      </c>
      <c r="E7" s="139">
        <v>0</v>
      </c>
      <c r="F7" s="139">
        <v>0</v>
      </c>
      <c r="G7" s="139">
        <v>41.8</v>
      </c>
      <c r="H7" s="139">
        <v>48.239999999999981</v>
      </c>
      <c r="I7" s="139">
        <v>667.76599999999985</v>
      </c>
      <c r="J7" s="139">
        <v>1.1919999999999999</v>
      </c>
      <c r="K7" s="139">
        <v>84.740999999999985</v>
      </c>
      <c r="L7" s="139">
        <v>0</v>
      </c>
      <c r="M7" s="139">
        <v>0</v>
      </c>
      <c r="N7" s="139">
        <v>668.95799999999986</v>
      </c>
      <c r="O7" s="139">
        <v>8.436000000000007</v>
      </c>
      <c r="P7" s="139">
        <v>0</v>
      </c>
      <c r="Q7" s="139">
        <v>0</v>
      </c>
      <c r="R7" s="139">
        <v>0</v>
      </c>
      <c r="S7" s="139">
        <v>1.01</v>
      </c>
      <c r="T7" s="139">
        <v>8.436000000000007</v>
      </c>
      <c r="U7" s="139">
        <v>725.6339999999999</v>
      </c>
    </row>
    <row r="8" spans="1:21" ht="38.25" customHeight="1" x14ac:dyDescent="0.35">
      <c r="A8" s="230">
        <v>2</v>
      </c>
      <c r="B8" s="231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330.85500000000002</v>
      </c>
      <c r="J8" s="139">
        <v>2.2999999999999998</v>
      </c>
      <c r="K8" s="139">
        <v>21.175000000000001</v>
      </c>
      <c r="L8" s="139">
        <v>0</v>
      </c>
      <c r="M8" s="139">
        <v>0</v>
      </c>
      <c r="N8" s="139">
        <v>333.15500000000003</v>
      </c>
      <c r="O8" s="139">
        <v>66.290000000000006</v>
      </c>
      <c r="P8" s="139">
        <v>0</v>
      </c>
      <c r="Q8" s="139">
        <v>0</v>
      </c>
      <c r="R8" s="139">
        <v>0</v>
      </c>
      <c r="S8" s="139">
        <v>0</v>
      </c>
      <c r="T8" s="139">
        <v>66.290000000000006</v>
      </c>
      <c r="U8" s="139">
        <v>664.83500000000004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789.30800000000011</v>
      </c>
      <c r="J9" s="139">
        <v>10.89</v>
      </c>
      <c r="K9" s="139">
        <v>99.169999999999987</v>
      </c>
      <c r="L9" s="139">
        <v>0</v>
      </c>
      <c r="M9" s="139">
        <v>0</v>
      </c>
      <c r="N9" s="139">
        <v>800.19800000000009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1054.098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347.44999999999993</v>
      </c>
      <c r="J10" s="139">
        <v>1.55</v>
      </c>
      <c r="K10" s="139">
        <v>6.625</v>
      </c>
      <c r="L10" s="139">
        <v>0</v>
      </c>
      <c r="M10" s="139">
        <v>0</v>
      </c>
      <c r="N10" s="139">
        <v>348.99999999999994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349.19999999999993</v>
      </c>
    </row>
    <row r="11" spans="1:21" s="111" customFormat="1" ht="38.25" customHeight="1" x14ac:dyDescent="0.4">
      <c r="A11" s="308" t="s">
        <v>82</v>
      </c>
      <c r="B11" s="309"/>
      <c r="C11" s="141">
        <v>522.79</v>
      </c>
      <c r="D11" s="141">
        <v>0</v>
      </c>
      <c r="E11" s="141">
        <v>0</v>
      </c>
      <c r="F11" s="141">
        <v>0</v>
      </c>
      <c r="G11" s="141">
        <v>41.8</v>
      </c>
      <c r="H11" s="141">
        <v>522.79</v>
      </c>
      <c r="I11" s="141">
        <v>2135.3789999999999</v>
      </c>
      <c r="J11" s="141">
        <v>15.932000000000002</v>
      </c>
      <c r="K11" s="141">
        <v>211.71099999999996</v>
      </c>
      <c r="L11" s="141">
        <v>0</v>
      </c>
      <c r="M11" s="141">
        <v>0</v>
      </c>
      <c r="N11" s="141">
        <v>2151.3109999999997</v>
      </c>
      <c r="O11" s="141">
        <v>119.66600000000001</v>
      </c>
      <c r="P11" s="141">
        <v>0</v>
      </c>
      <c r="Q11" s="141">
        <v>0</v>
      </c>
      <c r="R11" s="141">
        <v>0</v>
      </c>
      <c r="S11" s="141">
        <v>1.01</v>
      </c>
      <c r="T11" s="141">
        <v>119.66600000000001</v>
      </c>
      <c r="U11" s="141">
        <v>2793.7669999999998</v>
      </c>
    </row>
    <row r="12" spans="1:21" ht="38.25" customHeight="1" x14ac:dyDescent="0.35">
      <c r="A12" s="171">
        <v>4</v>
      </c>
      <c r="B12" s="231" t="s">
        <v>83</v>
      </c>
      <c r="C12" s="139">
        <v>355.3099999999996</v>
      </c>
      <c r="D12" s="139">
        <v>0</v>
      </c>
      <c r="E12" s="139">
        <v>0</v>
      </c>
      <c r="F12" s="139">
        <v>0</v>
      </c>
      <c r="G12" s="139">
        <v>0</v>
      </c>
      <c r="H12" s="139">
        <v>355.3099999999996</v>
      </c>
      <c r="I12" s="139">
        <v>852.19499999999994</v>
      </c>
      <c r="J12" s="221">
        <v>2.62</v>
      </c>
      <c r="K12" s="139">
        <v>50.109999999999992</v>
      </c>
      <c r="L12" s="139">
        <v>0</v>
      </c>
      <c r="M12" s="139">
        <v>0</v>
      </c>
      <c r="N12" s="139">
        <v>854.81499999999994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v>36.850000000000009</v>
      </c>
      <c r="U12" s="139">
        <v>1246.9749999999995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v>0</v>
      </c>
      <c r="F13" s="139">
        <v>0</v>
      </c>
      <c r="G13" s="139">
        <v>0</v>
      </c>
      <c r="H13" s="139">
        <v>312.23000000000013</v>
      </c>
      <c r="I13" s="139">
        <v>531.45200000000023</v>
      </c>
      <c r="J13" s="221">
        <v>0.31</v>
      </c>
      <c r="K13" s="139">
        <v>3.93</v>
      </c>
      <c r="L13" s="139">
        <v>0</v>
      </c>
      <c r="M13" s="139">
        <v>0.7</v>
      </c>
      <c r="N13" s="139">
        <v>531.76200000000017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912.38200000000029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v>0</v>
      </c>
      <c r="F14" s="139">
        <v>0</v>
      </c>
      <c r="G14" s="139">
        <v>0</v>
      </c>
      <c r="H14" s="139">
        <v>1216.4399999999994</v>
      </c>
      <c r="I14" s="139">
        <v>875.09800000000018</v>
      </c>
      <c r="J14" s="221">
        <v>3.41</v>
      </c>
      <c r="K14" s="139">
        <v>13.72</v>
      </c>
      <c r="L14" s="139">
        <v>0</v>
      </c>
      <c r="M14" s="139">
        <v>0</v>
      </c>
      <c r="N14" s="139">
        <v>878.50800000000015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2156.2779999999993</v>
      </c>
    </row>
    <row r="15" spans="1:21" s="111" customFormat="1" ht="38.25" customHeight="1" x14ac:dyDescent="0.4">
      <c r="A15" s="308" t="s">
        <v>86</v>
      </c>
      <c r="B15" s="309"/>
      <c r="C15" s="141">
        <v>1883.9799999999991</v>
      </c>
      <c r="D15" s="141">
        <v>0</v>
      </c>
      <c r="E15" s="141">
        <v>0</v>
      </c>
      <c r="F15" s="141">
        <v>0</v>
      </c>
      <c r="G15" s="141">
        <v>0</v>
      </c>
      <c r="H15" s="141">
        <v>1883.9799999999991</v>
      </c>
      <c r="I15" s="141">
        <v>2258.7450000000003</v>
      </c>
      <c r="J15" s="141">
        <v>6.34</v>
      </c>
      <c r="K15" s="141">
        <v>67.759999999999991</v>
      </c>
      <c r="L15" s="141">
        <v>0</v>
      </c>
      <c r="M15" s="141">
        <v>0.7</v>
      </c>
      <c r="N15" s="141">
        <v>2265.0850000000005</v>
      </c>
      <c r="O15" s="141">
        <v>166.57</v>
      </c>
      <c r="P15" s="141">
        <v>0</v>
      </c>
      <c r="Q15" s="141">
        <v>0</v>
      </c>
      <c r="R15" s="141">
        <v>0</v>
      </c>
      <c r="S15" s="141">
        <v>0</v>
      </c>
      <c r="T15" s="141">
        <v>166.57</v>
      </c>
      <c r="U15" s="141">
        <v>4315.6349999999993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976.30400000000031</v>
      </c>
      <c r="D16" s="139">
        <v>0.24</v>
      </c>
      <c r="E16" s="139">
        <v>1.45</v>
      </c>
      <c r="F16" s="139">
        <v>8.59</v>
      </c>
      <c r="G16" s="139">
        <v>27.34</v>
      </c>
      <c r="H16" s="139">
        <v>967.95400000000029</v>
      </c>
      <c r="I16" s="139">
        <v>354.34599999999995</v>
      </c>
      <c r="J16" s="139">
        <v>0.71</v>
      </c>
      <c r="K16" s="139">
        <v>56.01</v>
      </c>
      <c r="L16" s="139">
        <v>0</v>
      </c>
      <c r="M16" s="139">
        <v>0</v>
      </c>
      <c r="N16" s="139">
        <v>355.05599999999993</v>
      </c>
      <c r="O16" s="139">
        <v>177.41200000000003</v>
      </c>
      <c r="P16" s="139">
        <v>0</v>
      </c>
      <c r="Q16" s="139">
        <v>0</v>
      </c>
      <c r="R16" s="139">
        <v>0</v>
      </c>
      <c r="S16" s="139">
        <v>0</v>
      </c>
      <c r="T16" s="139">
        <v>177.41200000000003</v>
      </c>
      <c r="U16" s="139">
        <v>1500.4220000000003</v>
      </c>
    </row>
    <row r="17" spans="1:21" ht="38.25" customHeight="1" x14ac:dyDescent="0.35">
      <c r="A17" s="171">
        <v>9</v>
      </c>
      <c r="B17" s="231" t="s">
        <v>120</v>
      </c>
      <c r="C17" s="139">
        <v>2.6759999999999478</v>
      </c>
      <c r="D17" s="139">
        <v>0</v>
      </c>
      <c r="E17" s="139">
        <v>0</v>
      </c>
      <c r="F17" s="139">
        <v>0</v>
      </c>
      <c r="G17" s="139">
        <v>3.74</v>
      </c>
      <c r="H17" s="139">
        <v>2.6759999999999478</v>
      </c>
      <c r="I17" s="139">
        <v>563.0200000000001</v>
      </c>
      <c r="J17" s="139">
        <v>4.05</v>
      </c>
      <c r="K17" s="139">
        <v>55.32</v>
      </c>
      <c r="L17" s="139">
        <v>0</v>
      </c>
      <c r="M17" s="139">
        <v>0</v>
      </c>
      <c r="N17" s="139">
        <v>567.07000000000005</v>
      </c>
      <c r="O17" s="139">
        <v>1.2400000000000002</v>
      </c>
      <c r="P17" s="139">
        <v>0.73</v>
      </c>
      <c r="Q17" s="139">
        <v>1.3399999999999999</v>
      </c>
      <c r="R17" s="139">
        <v>0</v>
      </c>
      <c r="S17" s="139">
        <v>5.7</v>
      </c>
      <c r="T17" s="139">
        <v>1.9700000000000002</v>
      </c>
      <c r="U17" s="139">
        <v>571.71600000000001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136.0160000000001</v>
      </c>
      <c r="D18" s="139">
        <v>0</v>
      </c>
      <c r="E18" s="139">
        <v>0.24</v>
      </c>
      <c r="F18" s="139">
        <v>0</v>
      </c>
      <c r="G18" s="139">
        <v>0</v>
      </c>
      <c r="H18" s="139">
        <v>136.0160000000001</v>
      </c>
      <c r="I18" s="139">
        <v>489.85699999999997</v>
      </c>
      <c r="J18" s="139">
        <v>0.54</v>
      </c>
      <c r="K18" s="139">
        <v>4.8600000000000003</v>
      </c>
      <c r="L18" s="139">
        <v>0</v>
      </c>
      <c r="M18" s="139">
        <v>0</v>
      </c>
      <c r="N18" s="139">
        <v>490.39699999999999</v>
      </c>
      <c r="O18" s="139">
        <v>38.869999999999997</v>
      </c>
      <c r="P18" s="139">
        <v>0</v>
      </c>
      <c r="Q18" s="139">
        <v>0</v>
      </c>
      <c r="R18" s="139">
        <v>0</v>
      </c>
      <c r="S18" s="139">
        <v>0</v>
      </c>
      <c r="T18" s="139">
        <v>38.869999999999997</v>
      </c>
      <c r="U18" s="139">
        <v>665.28300000000013</v>
      </c>
    </row>
    <row r="19" spans="1:21" s="111" customFormat="1" ht="38.25" customHeight="1" x14ac:dyDescent="0.4">
      <c r="A19" s="308" t="s">
        <v>89</v>
      </c>
      <c r="B19" s="309"/>
      <c r="C19" s="141">
        <v>1114.9960000000003</v>
      </c>
      <c r="D19" s="141">
        <v>0.24</v>
      </c>
      <c r="E19" s="141">
        <v>1.69</v>
      </c>
      <c r="F19" s="141">
        <v>8.59</v>
      </c>
      <c r="G19" s="141">
        <v>31.080000000000002</v>
      </c>
      <c r="H19" s="141">
        <v>1106.6460000000004</v>
      </c>
      <c r="I19" s="141">
        <v>1407.223</v>
      </c>
      <c r="J19" s="141">
        <v>5.3</v>
      </c>
      <c r="K19" s="141">
        <v>116.18999999999998</v>
      </c>
      <c r="L19" s="141">
        <v>0</v>
      </c>
      <c r="M19" s="141">
        <v>0</v>
      </c>
      <c r="N19" s="141">
        <v>1412.5229999999999</v>
      </c>
      <c r="O19" s="141">
        <v>217.52200000000005</v>
      </c>
      <c r="P19" s="141">
        <v>0.73</v>
      </c>
      <c r="Q19" s="141">
        <v>1.3399999999999999</v>
      </c>
      <c r="R19" s="141">
        <v>0</v>
      </c>
      <c r="S19" s="141">
        <v>5.7</v>
      </c>
      <c r="T19" s="141">
        <v>218.25200000000004</v>
      </c>
      <c r="U19" s="141">
        <v>2737.4210000000003</v>
      </c>
    </row>
    <row r="20" spans="1:21" ht="38.25" customHeight="1" x14ac:dyDescent="0.35">
      <c r="A20" s="171">
        <v>8</v>
      </c>
      <c r="B20" s="231" t="s">
        <v>91</v>
      </c>
      <c r="C20" s="139">
        <v>607.12999999999988</v>
      </c>
      <c r="D20" s="139">
        <v>0.15</v>
      </c>
      <c r="E20" s="139">
        <v>1.62</v>
      </c>
      <c r="F20" s="139">
        <v>0</v>
      </c>
      <c r="G20" s="139">
        <v>24.91</v>
      </c>
      <c r="H20" s="139">
        <v>607.27999999999986</v>
      </c>
      <c r="I20" s="139">
        <v>720.22800000000018</v>
      </c>
      <c r="J20" s="139">
        <v>1.17</v>
      </c>
      <c r="K20" s="139">
        <v>323.25</v>
      </c>
      <c r="L20" s="139">
        <v>0</v>
      </c>
      <c r="M20" s="139">
        <v>1.04</v>
      </c>
      <c r="N20" s="139">
        <v>721.39800000000014</v>
      </c>
      <c r="O20" s="139">
        <v>37.580000000000005</v>
      </c>
      <c r="P20" s="139">
        <v>0</v>
      </c>
      <c r="Q20" s="139">
        <v>0</v>
      </c>
      <c r="R20" s="139">
        <v>0</v>
      </c>
      <c r="S20" s="139">
        <v>2.77</v>
      </c>
      <c r="T20" s="139">
        <v>37.580000000000005</v>
      </c>
      <c r="U20" s="139">
        <v>1366.2579999999998</v>
      </c>
    </row>
    <row r="21" spans="1:21" ht="38.25" customHeight="1" x14ac:dyDescent="0.35">
      <c r="A21" s="171">
        <v>9</v>
      </c>
      <c r="B21" s="231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0</v>
      </c>
      <c r="H21" s="139">
        <v>22.51</v>
      </c>
      <c r="I21" s="139">
        <v>418.18700000000001</v>
      </c>
      <c r="J21" s="139">
        <v>0.41</v>
      </c>
      <c r="K21" s="139">
        <v>20.48</v>
      </c>
      <c r="L21" s="139">
        <v>0</v>
      </c>
      <c r="M21" s="139">
        <v>0</v>
      </c>
      <c r="N21" s="139">
        <v>418.59700000000004</v>
      </c>
      <c r="O21" s="139">
        <v>19.489999999999998</v>
      </c>
      <c r="P21" s="139">
        <v>0</v>
      </c>
      <c r="Q21" s="139">
        <v>0.12</v>
      </c>
      <c r="R21" s="139">
        <v>0</v>
      </c>
      <c r="S21" s="139">
        <v>0</v>
      </c>
      <c r="T21" s="139">
        <v>19.489999999999998</v>
      </c>
      <c r="U21" s="139">
        <v>460.59700000000004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v>0</v>
      </c>
      <c r="F22" s="139">
        <v>0</v>
      </c>
      <c r="G22" s="139">
        <v>0</v>
      </c>
      <c r="H22" s="139">
        <v>22.430000000000021</v>
      </c>
      <c r="I22" s="139">
        <v>692.16</v>
      </c>
      <c r="J22" s="139">
        <v>1.08</v>
      </c>
      <c r="K22" s="139">
        <v>4.3499999999999996</v>
      </c>
      <c r="L22" s="139">
        <v>0</v>
      </c>
      <c r="M22" s="139">
        <v>0.08</v>
      </c>
      <c r="N22" s="139">
        <v>693.24</v>
      </c>
      <c r="O22" s="139">
        <v>0.60000000000000098</v>
      </c>
      <c r="P22" s="139">
        <v>0</v>
      </c>
      <c r="Q22" s="139">
        <v>0</v>
      </c>
      <c r="R22" s="139">
        <v>0</v>
      </c>
      <c r="S22" s="139">
        <v>0</v>
      </c>
      <c r="T22" s="139">
        <v>0.60000000000000098</v>
      </c>
      <c r="U22" s="139">
        <v>716.2700000000001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430.64</v>
      </c>
      <c r="D23" s="139">
        <v>0</v>
      </c>
      <c r="E23" s="139">
        <v>3.4</v>
      </c>
      <c r="F23" s="139">
        <v>0</v>
      </c>
      <c r="G23" s="139">
        <v>0</v>
      </c>
      <c r="H23" s="139">
        <v>430.64</v>
      </c>
      <c r="I23" s="139">
        <v>119.675</v>
      </c>
      <c r="J23" s="139">
        <v>0.41</v>
      </c>
      <c r="K23" s="139">
        <v>18.2</v>
      </c>
      <c r="L23" s="139">
        <v>0</v>
      </c>
      <c r="M23" s="139">
        <v>0</v>
      </c>
      <c r="N23" s="139">
        <v>120.08499999999999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573.22500000000002</v>
      </c>
    </row>
    <row r="24" spans="1:21" s="111" customFormat="1" ht="38.25" customHeight="1" x14ac:dyDescent="0.4">
      <c r="A24" s="313" t="s">
        <v>94</v>
      </c>
      <c r="B24" s="313"/>
      <c r="C24" s="141">
        <v>1082.71</v>
      </c>
      <c r="D24" s="141">
        <v>0.15</v>
      </c>
      <c r="E24" s="141">
        <v>5.0200000000000005</v>
      </c>
      <c r="F24" s="141">
        <v>0</v>
      </c>
      <c r="G24" s="141">
        <v>24.91</v>
      </c>
      <c r="H24" s="141">
        <v>1082.8599999999999</v>
      </c>
      <c r="I24" s="141">
        <v>1950.2500000000002</v>
      </c>
      <c r="J24" s="141">
        <v>3.0700000000000003</v>
      </c>
      <c r="K24" s="141">
        <v>366.28</v>
      </c>
      <c r="L24" s="141">
        <v>0</v>
      </c>
      <c r="M24" s="141">
        <v>1.1200000000000001</v>
      </c>
      <c r="N24" s="141">
        <v>1953.3200000000002</v>
      </c>
      <c r="O24" s="141">
        <v>80.170000000000016</v>
      </c>
      <c r="P24" s="141">
        <v>0</v>
      </c>
      <c r="Q24" s="141">
        <v>0.12</v>
      </c>
      <c r="R24" s="141">
        <v>0</v>
      </c>
      <c r="S24" s="141">
        <v>2.77</v>
      </c>
      <c r="T24" s="141">
        <v>80.170000000000016</v>
      </c>
      <c r="U24" s="141">
        <v>3116.35</v>
      </c>
    </row>
    <row r="25" spans="1:21" s="145" customFormat="1" ht="38.25" customHeight="1" x14ac:dyDescent="0.4">
      <c r="A25" s="308" t="s">
        <v>95</v>
      </c>
      <c r="B25" s="309"/>
      <c r="C25" s="141">
        <v>4604.4759999999987</v>
      </c>
      <c r="D25" s="141">
        <v>0.39</v>
      </c>
      <c r="E25" s="141">
        <v>6.71</v>
      </c>
      <c r="F25" s="141">
        <v>8.59</v>
      </c>
      <c r="G25" s="141">
        <v>97.79</v>
      </c>
      <c r="H25" s="141">
        <v>4596.2759999999998</v>
      </c>
      <c r="I25" s="141">
        <v>7751.5970000000007</v>
      </c>
      <c r="J25" s="141">
        <v>30.642000000000003</v>
      </c>
      <c r="K25" s="141">
        <v>761.94100000000003</v>
      </c>
      <c r="L25" s="141">
        <v>0</v>
      </c>
      <c r="M25" s="141">
        <v>1.82</v>
      </c>
      <c r="N25" s="141">
        <v>7782.2389999999996</v>
      </c>
      <c r="O25" s="141">
        <v>583.92800000000011</v>
      </c>
      <c r="P25" s="141">
        <v>0.73</v>
      </c>
      <c r="Q25" s="141">
        <v>1.46</v>
      </c>
      <c r="R25" s="141">
        <v>0</v>
      </c>
      <c r="S25" s="141">
        <v>9.48</v>
      </c>
      <c r="T25" s="141">
        <v>584.65800000000002</v>
      </c>
      <c r="U25" s="141">
        <v>12963.172999999999</v>
      </c>
    </row>
    <row r="26" spans="1:21" ht="38.25" customHeight="1" x14ac:dyDescent="0.35">
      <c r="A26" s="171">
        <v>15</v>
      </c>
      <c r="B26" s="231" t="s">
        <v>96</v>
      </c>
      <c r="C26" s="139">
        <v>1578.9499999999998</v>
      </c>
      <c r="D26" s="139">
        <v>5.48</v>
      </c>
      <c r="E26" s="139">
        <v>31.45</v>
      </c>
      <c r="F26" s="139">
        <v>0</v>
      </c>
      <c r="G26" s="139">
        <v>0</v>
      </c>
      <c r="H26" s="139">
        <v>1584.4299999999998</v>
      </c>
      <c r="I26" s="139">
        <v>67.53</v>
      </c>
      <c r="J26" s="139">
        <v>0.24</v>
      </c>
      <c r="K26" s="139">
        <v>0.44</v>
      </c>
      <c r="L26" s="139">
        <v>0</v>
      </c>
      <c r="M26" s="139">
        <v>0</v>
      </c>
      <c r="N26" s="139">
        <v>67.77</v>
      </c>
      <c r="O26" s="139">
        <v>16.11</v>
      </c>
      <c r="P26" s="139">
        <v>0</v>
      </c>
      <c r="Q26" s="139">
        <v>0</v>
      </c>
      <c r="R26" s="139">
        <v>0</v>
      </c>
      <c r="S26" s="139">
        <v>0</v>
      </c>
      <c r="T26" s="139">
        <v>16.11</v>
      </c>
      <c r="U26" s="139">
        <v>1668.3099999999997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5632.7850000000026</v>
      </c>
      <c r="D27" s="139">
        <v>9.31</v>
      </c>
      <c r="E27" s="139">
        <v>65.39</v>
      </c>
      <c r="F27" s="139">
        <v>0</v>
      </c>
      <c r="G27" s="139">
        <v>0</v>
      </c>
      <c r="H27" s="139">
        <v>5642.095000000003</v>
      </c>
      <c r="I27" s="139">
        <v>601.44799999999998</v>
      </c>
      <c r="J27" s="139">
        <v>0.88</v>
      </c>
      <c r="K27" s="139">
        <v>8.14</v>
      </c>
      <c r="L27" s="139">
        <v>0</v>
      </c>
      <c r="M27" s="139">
        <v>0</v>
      </c>
      <c r="N27" s="139">
        <v>602.32799999999997</v>
      </c>
      <c r="O27" s="139">
        <v>33.49</v>
      </c>
      <c r="P27" s="139">
        <v>0.1</v>
      </c>
      <c r="Q27" s="139">
        <v>0.1</v>
      </c>
      <c r="R27" s="139">
        <v>0</v>
      </c>
      <c r="S27" s="139">
        <v>0</v>
      </c>
      <c r="T27" s="139">
        <v>33.590000000000003</v>
      </c>
      <c r="U27" s="139">
        <v>6278.0130000000026</v>
      </c>
    </row>
    <row r="28" spans="1:21" s="111" customFormat="1" ht="38.25" customHeight="1" x14ac:dyDescent="0.4">
      <c r="A28" s="313" t="s">
        <v>98</v>
      </c>
      <c r="B28" s="313"/>
      <c r="C28" s="141">
        <v>7211.7350000000024</v>
      </c>
      <c r="D28" s="141">
        <v>14.790000000000001</v>
      </c>
      <c r="E28" s="141">
        <v>96.84</v>
      </c>
      <c r="F28" s="141">
        <v>0</v>
      </c>
      <c r="G28" s="141">
        <v>0</v>
      </c>
      <c r="H28" s="141">
        <v>7226.5250000000033</v>
      </c>
      <c r="I28" s="141">
        <v>668.97799999999995</v>
      </c>
      <c r="J28" s="141">
        <v>1.1200000000000001</v>
      </c>
      <c r="K28" s="141">
        <v>8.58</v>
      </c>
      <c r="L28" s="141">
        <v>0</v>
      </c>
      <c r="M28" s="141">
        <v>0</v>
      </c>
      <c r="N28" s="141">
        <v>670.09799999999996</v>
      </c>
      <c r="O28" s="141">
        <v>49.6</v>
      </c>
      <c r="P28" s="141">
        <v>0.1</v>
      </c>
      <c r="Q28" s="141">
        <v>0.1</v>
      </c>
      <c r="R28" s="141">
        <v>0</v>
      </c>
      <c r="S28" s="141">
        <v>0</v>
      </c>
      <c r="T28" s="141">
        <v>49.7</v>
      </c>
      <c r="U28" s="141">
        <v>7946.3230000000021</v>
      </c>
    </row>
    <row r="29" spans="1:21" ht="38.25" customHeight="1" x14ac:dyDescent="0.35">
      <c r="A29" s="171">
        <v>17</v>
      </c>
      <c r="B29" s="231" t="s">
        <v>99</v>
      </c>
      <c r="C29" s="139">
        <v>4675.4480000000012</v>
      </c>
      <c r="D29" s="139">
        <v>40.130000000000003</v>
      </c>
      <c r="E29" s="139">
        <v>62.11</v>
      </c>
      <c r="F29" s="139">
        <v>0</v>
      </c>
      <c r="G29" s="139">
        <v>0</v>
      </c>
      <c r="H29" s="139">
        <v>4715.5780000000013</v>
      </c>
      <c r="I29" s="139">
        <v>119.39</v>
      </c>
      <c r="J29" s="139">
        <v>0.26</v>
      </c>
      <c r="K29" s="139">
        <v>0.26</v>
      </c>
      <c r="L29" s="139">
        <v>0</v>
      </c>
      <c r="M29" s="139">
        <v>0</v>
      </c>
      <c r="N29" s="139">
        <v>119.65</v>
      </c>
      <c r="O29" s="139">
        <v>34.52000000000001</v>
      </c>
      <c r="P29" s="139">
        <v>0</v>
      </c>
      <c r="Q29" s="139">
        <v>0</v>
      </c>
      <c r="R29" s="139">
        <v>0</v>
      </c>
      <c r="S29" s="139">
        <v>23.2</v>
      </c>
      <c r="T29" s="139">
        <v>34.52000000000001</v>
      </c>
      <c r="U29" s="139">
        <v>4869.7480000000014</v>
      </c>
    </row>
    <row r="30" spans="1:21" ht="38.25" customHeight="1" x14ac:dyDescent="0.35">
      <c r="A30" s="171">
        <v>18</v>
      </c>
      <c r="B30" s="231" t="s">
        <v>100</v>
      </c>
      <c r="C30" s="139">
        <v>3646.6299999999997</v>
      </c>
      <c r="D30" s="139">
        <v>4.88</v>
      </c>
      <c r="E30" s="139">
        <v>39.170000000000009</v>
      </c>
      <c r="F30" s="139">
        <v>0</v>
      </c>
      <c r="G30" s="139">
        <v>0</v>
      </c>
      <c r="H30" s="139">
        <v>3651.5099999999998</v>
      </c>
      <c r="I30" s="139">
        <v>110.587</v>
      </c>
      <c r="J30" s="139">
        <v>0</v>
      </c>
      <c r="K30" s="139">
        <v>0</v>
      </c>
      <c r="L30" s="139">
        <v>0</v>
      </c>
      <c r="M30" s="139">
        <v>0</v>
      </c>
      <c r="N30" s="139">
        <v>110.587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3785.3469999999998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4678.8990000000003</v>
      </c>
      <c r="D31" s="139">
        <v>0.22</v>
      </c>
      <c r="E31" s="139">
        <v>13.540000000000001</v>
      </c>
      <c r="F31" s="139">
        <v>0</v>
      </c>
      <c r="G31" s="139">
        <v>0</v>
      </c>
      <c r="H31" s="139">
        <v>4679.1190000000006</v>
      </c>
      <c r="I31" s="139">
        <v>107.63000000000002</v>
      </c>
      <c r="J31" s="139">
        <v>0</v>
      </c>
      <c r="K31" s="139">
        <v>0</v>
      </c>
      <c r="L31" s="139">
        <v>0</v>
      </c>
      <c r="M31" s="139">
        <v>0</v>
      </c>
      <c r="N31" s="139">
        <v>107.63000000000002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4801.5990000000011</v>
      </c>
    </row>
    <row r="32" spans="1:21" ht="38.25" customHeight="1" x14ac:dyDescent="0.35">
      <c r="A32" s="171">
        <v>20</v>
      </c>
      <c r="B32" s="231" t="s">
        <v>102</v>
      </c>
      <c r="C32" s="139">
        <v>2346.3357999999994</v>
      </c>
      <c r="D32" s="139">
        <v>1.42</v>
      </c>
      <c r="E32" s="139">
        <v>14.62</v>
      </c>
      <c r="F32" s="139">
        <v>0</v>
      </c>
      <c r="G32" s="139">
        <v>9.7200000000000006</v>
      </c>
      <c r="H32" s="139">
        <v>2347.7557999999995</v>
      </c>
      <c r="I32" s="139">
        <v>86.195999999999998</v>
      </c>
      <c r="J32" s="139">
        <v>0.04</v>
      </c>
      <c r="K32" s="139">
        <v>3.47</v>
      </c>
      <c r="L32" s="139">
        <v>0</v>
      </c>
      <c r="M32" s="139">
        <v>0</v>
      </c>
      <c r="N32" s="139">
        <v>86.236000000000004</v>
      </c>
      <c r="O32" s="139">
        <v>67.551999999999992</v>
      </c>
      <c r="P32" s="139">
        <v>0</v>
      </c>
      <c r="Q32" s="139">
        <v>0</v>
      </c>
      <c r="R32" s="139">
        <v>0</v>
      </c>
      <c r="S32" s="139">
        <v>0</v>
      </c>
      <c r="T32" s="139">
        <v>67.551999999999992</v>
      </c>
      <c r="U32" s="139">
        <v>2501.5437999999995</v>
      </c>
    </row>
    <row r="33" spans="1:21" s="111" customFormat="1" ht="38.25" customHeight="1" x14ac:dyDescent="0.4">
      <c r="A33" s="313" t="s">
        <v>99</v>
      </c>
      <c r="B33" s="313"/>
      <c r="C33" s="141">
        <v>15347.312800000002</v>
      </c>
      <c r="D33" s="141">
        <v>46.650000000000006</v>
      </c>
      <c r="E33" s="141">
        <v>129.44</v>
      </c>
      <c r="F33" s="141">
        <v>0</v>
      </c>
      <c r="G33" s="141">
        <v>9.7200000000000006</v>
      </c>
      <c r="H33" s="141">
        <v>15393.962800000001</v>
      </c>
      <c r="I33" s="141">
        <v>423.803</v>
      </c>
      <c r="J33" s="141">
        <v>0.3</v>
      </c>
      <c r="K33" s="141">
        <v>3.73</v>
      </c>
      <c r="L33" s="141">
        <v>0</v>
      </c>
      <c r="M33" s="141">
        <v>0</v>
      </c>
      <c r="N33" s="141">
        <v>424.10300000000007</v>
      </c>
      <c r="O33" s="141">
        <v>140.172</v>
      </c>
      <c r="P33" s="141">
        <v>0</v>
      </c>
      <c r="Q33" s="141">
        <v>0</v>
      </c>
      <c r="R33" s="141">
        <v>0</v>
      </c>
      <c r="S33" s="141">
        <v>23.2</v>
      </c>
      <c r="T33" s="141">
        <v>140.172</v>
      </c>
      <c r="U33" s="141">
        <v>15958.237800000003</v>
      </c>
    </row>
    <row r="34" spans="1:21" ht="38.25" customHeight="1" x14ac:dyDescent="0.35">
      <c r="A34" s="171">
        <v>21</v>
      </c>
      <c r="B34" s="231" t="s">
        <v>103</v>
      </c>
      <c r="C34" s="139">
        <v>4523.71</v>
      </c>
      <c r="D34" s="139">
        <v>13.16</v>
      </c>
      <c r="E34" s="139">
        <v>97.77</v>
      </c>
      <c r="F34" s="139">
        <v>0</v>
      </c>
      <c r="G34" s="139">
        <v>0</v>
      </c>
      <c r="H34" s="139">
        <v>4536.87</v>
      </c>
      <c r="I34" s="139">
        <v>84.44</v>
      </c>
      <c r="J34" s="139">
        <v>0.02</v>
      </c>
      <c r="K34" s="139">
        <v>84.46</v>
      </c>
      <c r="L34" s="139">
        <v>0</v>
      </c>
      <c r="M34" s="139">
        <v>0</v>
      </c>
      <c r="N34" s="139">
        <v>84.46</v>
      </c>
      <c r="O34" s="139">
        <v>72.7</v>
      </c>
      <c r="P34" s="139">
        <v>0</v>
      </c>
      <c r="Q34" s="139">
        <v>72.7</v>
      </c>
      <c r="R34" s="139">
        <v>0</v>
      </c>
      <c r="S34" s="139">
        <v>0</v>
      </c>
      <c r="T34" s="139">
        <v>72.7</v>
      </c>
      <c r="U34" s="139">
        <v>4694.03</v>
      </c>
    </row>
    <row r="35" spans="1:21" ht="38.25" customHeight="1" x14ac:dyDescent="0.35">
      <c r="A35" s="171">
        <v>22</v>
      </c>
      <c r="B35" s="231" t="s">
        <v>104</v>
      </c>
      <c r="C35" s="139">
        <v>6371.0799999999972</v>
      </c>
      <c r="D35" s="139">
        <v>4.93</v>
      </c>
      <c r="E35" s="139">
        <v>166.43</v>
      </c>
      <c r="F35" s="139">
        <v>0</v>
      </c>
      <c r="G35" s="139">
        <v>0</v>
      </c>
      <c r="H35" s="139">
        <v>6376.0099999999975</v>
      </c>
      <c r="I35" s="139">
        <v>33.68</v>
      </c>
      <c r="J35" s="139">
        <v>0.45</v>
      </c>
      <c r="K35" s="139">
        <v>27.21</v>
      </c>
      <c r="L35" s="139">
        <v>0</v>
      </c>
      <c r="M35" s="139">
        <v>0</v>
      </c>
      <c r="N35" s="139">
        <v>34.130000000000003</v>
      </c>
      <c r="O35" s="139">
        <v>90.800000000000011</v>
      </c>
      <c r="P35" s="139">
        <v>0</v>
      </c>
      <c r="Q35" s="139">
        <v>32.380000000000003</v>
      </c>
      <c r="R35" s="139">
        <v>0</v>
      </c>
      <c r="S35" s="139">
        <v>0</v>
      </c>
      <c r="T35" s="139">
        <v>90.800000000000011</v>
      </c>
      <c r="U35" s="139">
        <v>6500.9399999999978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3548.42</v>
      </c>
      <c r="D36" s="139">
        <v>15.12</v>
      </c>
      <c r="E36" s="139">
        <v>112.44</v>
      </c>
      <c r="F36" s="139">
        <v>0</v>
      </c>
      <c r="G36" s="139">
        <v>0</v>
      </c>
      <c r="H36" s="139">
        <v>3563.54</v>
      </c>
      <c r="I36" s="139">
        <v>30.250000000000039</v>
      </c>
      <c r="J36" s="139">
        <v>0</v>
      </c>
      <c r="K36" s="139">
        <v>5.2</v>
      </c>
      <c r="L36" s="139">
        <v>0</v>
      </c>
      <c r="M36" s="139">
        <v>4.63</v>
      </c>
      <c r="N36" s="139">
        <v>30.250000000000039</v>
      </c>
      <c r="O36" s="139">
        <v>36.379999999999995</v>
      </c>
      <c r="P36" s="139">
        <v>0</v>
      </c>
      <c r="Q36" s="139">
        <v>19.29</v>
      </c>
      <c r="R36" s="139">
        <v>0</v>
      </c>
      <c r="S36" s="139">
        <v>0</v>
      </c>
      <c r="T36" s="139">
        <v>36.379999999999995</v>
      </c>
      <c r="U36" s="139">
        <v>3630.17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4874.1299999999974</v>
      </c>
      <c r="D37" s="139">
        <v>24.21</v>
      </c>
      <c r="E37" s="139">
        <v>110.22</v>
      </c>
      <c r="F37" s="139">
        <v>0</v>
      </c>
      <c r="G37" s="139">
        <v>0</v>
      </c>
      <c r="H37" s="139">
        <v>4898.3399999999974</v>
      </c>
      <c r="I37" s="139">
        <v>26.700000000000003</v>
      </c>
      <c r="J37" s="139">
        <v>0</v>
      </c>
      <c r="K37" s="139">
        <v>14.27</v>
      </c>
      <c r="L37" s="139">
        <v>0</v>
      </c>
      <c r="M37" s="139">
        <v>1.06</v>
      </c>
      <c r="N37" s="139">
        <v>26.700000000000003</v>
      </c>
      <c r="O37" s="139">
        <v>3.0599999999999996</v>
      </c>
      <c r="P37" s="139">
        <v>0</v>
      </c>
      <c r="Q37" s="139">
        <v>0</v>
      </c>
      <c r="R37" s="139">
        <v>0</v>
      </c>
      <c r="S37" s="139">
        <v>3.46</v>
      </c>
      <c r="T37" s="139">
        <v>3.0599999999999996</v>
      </c>
      <c r="U37" s="139">
        <v>4928.0999999999976</v>
      </c>
    </row>
    <row r="38" spans="1:21" s="111" customFormat="1" ht="38.25" customHeight="1" x14ac:dyDescent="0.4">
      <c r="A38" s="313" t="s">
        <v>107</v>
      </c>
      <c r="B38" s="313"/>
      <c r="C38" s="141">
        <v>19317.339999999997</v>
      </c>
      <c r="D38" s="141">
        <v>57.42</v>
      </c>
      <c r="E38" s="141">
        <v>486.86</v>
      </c>
      <c r="F38" s="141">
        <v>0</v>
      </c>
      <c r="G38" s="141">
        <v>0</v>
      </c>
      <c r="H38" s="141">
        <v>19374.759999999995</v>
      </c>
      <c r="I38" s="141">
        <v>175.07000000000005</v>
      </c>
      <c r="J38" s="141">
        <v>0.47000000000000003</v>
      </c>
      <c r="K38" s="141">
        <v>131.14000000000001</v>
      </c>
      <c r="L38" s="141">
        <v>0</v>
      </c>
      <c r="M38" s="141">
        <v>5.6899999999999995</v>
      </c>
      <c r="N38" s="141">
        <v>175.54000000000002</v>
      </c>
      <c r="O38" s="141">
        <v>202.94</v>
      </c>
      <c r="P38" s="141">
        <v>0</v>
      </c>
      <c r="Q38" s="141">
        <v>124.37</v>
      </c>
      <c r="R38" s="141">
        <v>0</v>
      </c>
      <c r="S38" s="141">
        <v>3.46</v>
      </c>
      <c r="T38" s="141">
        <v>202.94</v>
      </c>
      <c r="U38" s="141">
        <v>19753.239999999994</v>
      </c>
    </row>
    <row r="39" spans="1:21" s="145" customFormat="1" ht="38.25" customHeight="1" x14ac:dyDescent="0.4">
      <c r="A39" s="313" t="s">
        <v>108</v>
      </c>
      <c r="B39" s="313"/>
      <c r="C39" s="141">
        <v>41876.387799999997</v>
      </c>
      <c r="D39" s="141">
        <v>118.86000000000001</v>
      </c>
      <c r="E39" s="141">
        <v>713.14</v>
      </c>
      <c r="F39" s="141">
        <v>0</v>
      </c>
      <c r="G39" s="141">
        <v>9.7200000000000006</v>
      </c>
      <c r="H39" s="141">
        <v>41995.247799999997</v>
      </c>
      <c r="I39" s="141">
        <v>1267.8510000000001</v>
      </c>
      <c r="J39" s="141">
        <v>1.8900000000000001</v>
      </c>
      <c r="K39" s="141">
        <v>143.45000000000002</v>
      </c>
      <c r="L39" s="141">
        <v>0</v>
      </c>
      <c r="M39" s="141">
        <v>5.6899999999999995</v>
      </c>
      <c r="N39" s="141">
        <v>1269.741</v>
      </c>
      <c r="O39" s="141">
        <v>392.71199999999999</v>
      </c>
      <c r="P39" s="141">
        <v>0.1</v>
      </c>
      <c r="Q39" s="141">
        <v>124.47</v>
      </c>
      <c r="R39" s="141">
        <v>0</v>
      </c>
      <c r="S39" s="141">
        <v>26.66</v>
      </c>
      <c r="T39" s="141">
        <v>392.81199999999995</v>
      </c>
      <c r="U39" s="141">
        <v>43657.800799999997</v>
      </c>
    </row>
    <row r="40" spans="1:21" ht="38.25" customHeight="1" x14ac:dyDescent="0.35">
      <c r="A40" s="171">
        <v>25</v>
      </c>
      <c r="B40" s="231" t="s">
        <v>109</v>
      </c>
      <c r="C40" s="139">
        <v>11706.163999999999</v>
      </c>
      <c r="D40" s="139">
        <v>19.47</v>
      </c>
      <c r="E40" s="139">
        <v>335.19000000000005</v>
      </c>
      <c r="F40" s="139">
        <v>0</v>
      </c>
      <c r="G40" s="139">
        <v>0</v>
      </c>
      <c r="H40" s="139">
        <v>11725.633999999998</v>
      </c>
      <c r="I40" s="139">
        <v>198.73</v>
      </c>
      <c r="J40" s="139">
        <v>0</v>
      </c>
      <c r="K40" s="139">
        <v>0</v>
      </c>
      <c r="L40" s="139">
        <v>0</v>
      </c>
      <c r="M40" s="139">
        <v>0</v>
      </c>
      <c r="N40" s="139">
        <v>198.73</v>
      </c>
      <c r="O40" s="139">
        <v>0</v>
      </c>
      <c r="P40" s="139">
        <v>53.46</v>
      </c>
      <c r="Q40" s="139">
        <v>53.46</v>
      </c>
      <c r="R40" s="139">
        <v>0</v>
      </c>
      <c r="S40" s="139">
        <v>0</v>
      </c>
      <c r="T40" s="139">
        <v>53.46</v>
      </c>
      <c r="U40" s="139">
        <v>11977.823999999997</v>
      </c>
    </row>
    <row r="41" spans="1:21" ht="38.25" customHeight="1" x14ac:dyDescent="0.35">
      <c r="A41" s="171">
        <v>26</v>
      </c>
      <c r="B41" s="231" t="s">
        <v>110</v>
      </c>
      <c r="C41" s="139">
        <v>7870.626999999994</v>
      </c>
      <c r="D41" s="139">
        <v>83.141999999999996</v>
      </c>
      <c r="E41" s="139">
        <v>455.73200000000003</v>
      </c>
      <c r="F41" s="139">
        <v>0</v>
      </c>
      <c r="G41" s="139">
        <v>0</v>
      </c>
      <c r="H41" s="139">
        <v>7953.7689999999939</v>
      </c>
      <c r="I41" s="139">
        <v>8.67</v>
      </c>
      <c r="J41" s="139">
        <v>0</v>
      </c>
      <c r="K41" s="139">
        <v>0</v>
      </c>
      <c r="L41" s="139">
        <v>0</v>
      </c>
      <c r="M41" s="139">
        <v>0</v>
      </c>
      <c r="N41" s="139">
        <v>8.67</v>
      </c>
      <c r="O41" s="139">
        <v>0</v>
      </c>
      <c r="P41" s="139">
        <v>47.1</v>
      </c>
      <c r="Q41" s="139">
        <v>47.1</v>
      </c>
      <c r="R41" s="139">
        <v>0</v>
      </c>
      <c r="S41" s="139">
        <v>0</v>
      </c>
      <c r="T41" s="139">
        <v>47.1</v>
      </c>
      <c r="U41" s="139">
        <v>8009.5389999999943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13852.388999999996</v>
      </c>
      <c r="D42" s="139">
        <v>8.09</v>
      </c>
      <c r="E42" s="139">
        <v>55.040000000000006</v>
      </c>
      <c r="F42" s="139">
        <v>0</v>
      </c>
      <c r="G42" s="139">
        <v>0</v>
      </c>
      <c r="H42" s="139">
        <v>13860.478999999996</v>
      </c>
      <c r="I42" s="139">
        <v>15.62</v>
      </c>
      <c r="J42" s="139">
        <v>0</v>
      </c>
      <c r="K42" s="139">
        <v>0</v>
      </c>
      <c r="L42" s="139">
        <v>0</v>
      </c>
      <c r="M42" s="139">
        <v>0</v>
      </c>
      <c r="N42" s="139">
        <v>15.62</v>
      </c>
      <c r="O42" s="139">
        <v>39.019999999999996</v>
      </c>
      <c r="P42" s="139">
        <v>34.22</v>
      </c>
      <c r="Q42" s="139">
        <v>34.22</v>
      </c>
      <c r="R42" s="139">
        <v>0</v>
      </c>
      <c r="S42" s="139">
        <v>0</v>
      </c>
      <c r="T42" s="139">
        <v>73.239999999999995</v>
      </c>
      <c r="U42" s="139">
        <v>13949.338999999996</v>
      </c>
    </row>
    <row r="43" spans="1:21" ht="38.25" customHeight="1" x14ac:dyDescent="0.35">
      <c r="A43" s="171">
        <v>28</v>
      </c>
      <c r="B43" s="231" t="s">
        <v>112</v>
      </c>
      <c r="C43" s="139">
        <v>3993.2600000000011</v>
      </c>
      <c r="D43" s="139">
        <v>27.6</v>
      </c>
      <c r="E43" s="139">
        <v>53.38</v>
      </c>
      <c r="F43" s="139">
        <v>0</v>
      </c>
      <c r="G43" s="139">
        <v>0</v>
      </c>
      <c r="H43" s="139">
        <v>4020.860000000001</v>
      </c>
      <c r="I43" s="139">
        <v>3.5</v>
      </c>
      <c r="J43" s="139">
        <v>0</v>
      </c>
      <c r="K43" s="139">
        <v>0</v>
      </c>
      <c r="L43" s="139">
        <v>0</v>
      </c>
      <c r="M43" s="139">
        <v>0</v>
      </c>
      <c r="N43" s="139">
        <v>3.5</v>
      </c>
      <c r="O43" s="139">
        <v>0</v>
      </c>
      <c r="P43" s="139">
        <v>29.8</v>
      </c>
      <c r="Q43" s="139">
        <v>29.8</v>
      </c>
      <c r="R43" s="139">
        <v>0</v>
      </c>
      <c r="S43" s="139">
        <v>0</v>
      </c>
      <c r="T43" s="139">
        <v>29.8</v>
      </c>
      <c r="U43" s="139">
        <v>4054.1600000000012</v>
      </c>
    </row>
    <row r="44" spans="1:21" s="111" customFormat="1" ht="38.25" customHeight="1" x14ac:dyDescent="0.4">
      <c r="A44" s="313" t="s">
        <v>109</v>
      </c>
      <c r="B44" s="313"/>
      <c r="C44" s="141">
        <v>37422.439999999995</v>
      </c>
      <c r="D44" s="141">
        <v>138.30199999999999</v>
      </c>
      <c r="E44" s="141">
        <v>899.3420000000001</v>
      </c>
      <c r="F44" s="141">
        <v>0</v>
      </c>
      <c r="G44" s="141">
        <v>0</v>
      </c>
      <c r="H44" s="141">
        <v>37560.741999999984</v>
      </c>
      <c r="I44" s="141">
        <v>226.51999999999998</v>
      </c>
      <c r="J44" s="141">
        <v>0</v>
      </c>
      <c r="K44" s="141">
        <v>0</v>
      </c>
      <c r="L44" s="141">
        <v>0</v>
      </c>
      <c r="M44" s="141">
        <v>0</v>
      </c>
      <c r="N44" s="141">
        <v>226.51999999999998</v>
      </c>
      <c r="O44" s="141">
        <v>39.019999999999996</v>
      </c>
      <c r="P44" s="141">
        <v>164.58</v>
      </c>
      <c r="Q44" s="141">
        <v>164.58</v>
      </c>
      <c r="R44" s="141">
        <v>0</v>
      </c>
      <c r="S44" s="141">
        <v>0</v>
      </c>
      <c r="T44" s="141">
        <v>203.60000000000002</v>
      </c>
      <c r="U44" s="141">
        <v>37990.861999999994</v>
      </c>
    </row>
    <row r="45" spans="1:21" ht="38.25" customHeight="1" x14ac:dyDescent="0.35">
      <c r="A45" s="171">
        <v>29</v>
      </c>
      <c r="B45" s="231" t="s">
        <v>113</v>
      </c>
      <c r="C45" s="139">
        <v>8114.602100000001</v>
      </c>
      <c r="D45" s="139">
        <v>11.19</v>
      </c>
      <c r="E45" s="139">
        <v>73.81</v>
      </c>
      <c r="F45" s="139">
        <v>0</v>
      </c>
      <c r="G45" s="139">
        <v>0</v>
      </c>
      <c r="H45" s="139">
        <v>8125.7921000000006</v>
      </c>
      <c r="I45" s="139">
        <v>42.2</v>
      </c>
      <c r="J45" s="139">
        <v>64.819999999999993</v>
      </c>
      <c r="K45" s="139">
        <v>65.099999999999994</v>
      </c>
      <c r="L45" s="139">
        <v>0</v>
      </c>
      <c r="M45" s="139">
        <v>0</v>
      </c>
      <c r="N45" s="139">
        <v>107.02</v>
      </c>
      <c r="O45" s="139">
        <v>14.78</v>
      </c>
      <c r="P45" s="139">
        <v>14.03</v>
      </c>
      <c r="Q45" s="139">
        <v>14.059999999999999</v>
      </c>
      <c r="R45" s="139">
        <v>0</v>
      </c>
      <c r="S45" s="139">
        <v>0</v>
      </c>
      <c r="T45" s="139">
        <v>28.81</v>
      </c>
      <c r="U45" s="139">
        <v>8261.6221000000005</v>
      </c>
    </row>
    <row r="46" spans="1:21" ht="38.25" customHeight="1" x14ac:dyDescent="0.35">
      <c r="A46" s="171">
        <v>30</v>
      </c>
      <c r="B46" s="231" t="s">
        <v>114</v>
      </c>
      <c r="C46" s="139">
        <v>7778.2450000000017</v>
      </c>
      <c r="D46" s="139">
        <v>6.96</v>
      </c>
      <c r="E46" s="139">
        <v>46.71</v>
      </c>
      <c r="F46" s="139">
        <v>0</v>
      </c>
      <c r="G46" s="139">
        <v>0</v>
      </c>
      <c r="H46" s="139">
        <v>7785.2050000000017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11.75</v>
      </c>
      <c r="Q46" s="139">
        <v>11.75</v>
      </c>
      <c r="R46" s="139">
        <v>0</v>
      </c>
      <c r="S46" s="139">
        <v>0</v>
      </c>
      <c r="T46" s="139">
        <v>11.75</v>
      </c>
      <c r="U46" s="139">
        <v>7796.9550000000017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8914.7900000000009</v>
      </c>
      <c r="D47" s="139">
        <v>3.55</v>
      </c>
      <c r="E47" s="139">
        <v>133.70000000000002</v>
      </c>
      <c r="F47" s="139">
        <v>0</v>
      </c>
      <c r="G47" s="139">
        <v>0</v>
      </c>
      <c r="H47" s="139">
        <v>8918.34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0.03</v>
      </c>
      <c r="P47" s="139">
        <v>9.91</v>
      </c>
      <c r="Q47" s="139">
        <v>9.91</v>
      </c>
      <c r="R47" s="139">
        <v>0</v>
      </c>
      <c r="S47" s="139">
        <v>0</v>
      </c>
      <c r="T47" s="139">
        <v>9.94</v>
      </c>
      <c r="U47" s="139">
        <v>8931.41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8571.3490000000002</v>
      </c>
      <c r="D48" s="139">
        <v>1.5</v>
      </c>
      <c r="E48" s="139">
        <v>376.06</v>
      </c>
      <c r="F48" s="139">
        <v>0</v>
      </c>
      <c r="G48" s="139">
        <v>0</v>
      </c>
      <c r="H48" s="139">
        <v>8572.8490000000002</v>
      </c>
      <c r="I48" s="139">
        <v>5.0249999999999995</v>
      </c>
      <c r="J48" s="139">
        <v>0</v>
      </c>
      <c r="K48" s="139">
        <v>0</v>
      </c>
      <c r="L48" s="139">
        <v>0</v>
      </c>
      <c r="M48" s="139">
        <v>0</v>
      </c>
      <c r="N48" s="139">
        <v>5.0249999999999995</v>
      </c>
      <c r="O48" s="139">
        <v>4.21</v>
      </c>
      <c r="P48" s="139">
        <v>0</v>
      </c>
      <c r="Q48" s="139">
        <v>4.21</v>
      </c>
      <c r="R48" s="139">
        <v>0</v>
      </c>
      <c r="S48" s="139">
        <v>0</v>
      </c>
      <c r="T48" s="139">
        <v>4.21</v>
      </c>
      <c r="U48" s="139">
        <v>8582.0839999999989</v>
      </c>
    </row>
    <row r="49" spans="1:21" s="111" customFormat="1" ht="38.25" customHeight="1" x14ac:dyDescent="0.4">
      <c r="A49" s="313" t="s">
        <v>117</v>
      </c>
      <c r="B49" s="313"/>
      <c r="C49" s="141">
        <v>33378.986100000002</v>
      </c>
      <c r="D49" s="141">
        <v>23.2</v>
      </c>
      <c r="E49" s="141">
        <v>630.28000000000009</v>
      </c>
      <c r="F49" s="141">
        <v>0</v>
      </c>
      <c r="G49" s="141">
        <v>0</v>
      </c>
      <c r="H49" s="141">
        <v>33402.186100000006</v>
      </c>
      <c r="I49" s="141">
        <v>50.355000000000004</v>
      </c>
      <c r="J49" s="141">
        <v>64.819999999999993</v>
      </c>
      <c r="K49" s="141">
        <v>65.099999999999994</v>
      </c>
      <c r="L49" s="141">
        <v>0</v>
      </c>
      <c r="M49" s="141">
        <v>0</v>
      </c>
      <c r="N49" s="141">
        <v>115.175</v>
      </c>
      <c r="O49" s="141">
        <v>19.02</v>
      </c>
      <c r="P49" s="141">
        <v>35.69</v>
      </c>
      <c r="Q49" s="141">
        <v>39.93</v>
      </c>
      <c r="R49" s="141">
        <v>0</v>
      </c>
      <c r="S49" s="141">
        <v>0</v>
      </c>
      <c r="T49" s="141">
        <v>54.71</v>
      </c>
      <c r="U49" s="141">
        <v>33572.071100000001</v>
      </c>
    </row>
    <row r="50" spans="1:21" s="145" customFormat="1" ht="38.25" customHeight="1" x14ac:dyDescent="0.4">
      <c r="A50" s="313" t="s">
        <v>118</v>
      </c>
      <c r="B50" s="313"/>
      <c r="C50" s="141">
        <v>70801.426099999997</v>
      </c>
      <c r="D50" s="141">
        <v>161.50199999999998</v>
      </c>
      <c r="E50" s="141">
        <v>1529.6220000000001</v>
      </c>
      <c r="F50" s="141">
        <v>0</v>
      </c>
      <c r="G50" s="141">
        <v>0</v>
      </c>
      <c r="H50" s="141">
        <v>70962.92809999999</v>
      </c>
      <c r="I50" s="141">
        <v>276.875</v>
      </c>
      <c r="J50" s="141">
        <v>64.819999999999993</v>
      </c>
      <c r="K50" s="141">
        <v>65.099999999999994</v>
      </c>
      <c r="L50" s="141">
        <v>0</v>
      </c>
      <c r="M50" s="141">
        <v>0</v>
      </c>
      <c r="N50" s="141">
        <v>341.69499999999999</v>
      </c>
      <c r="O50" s="141">
        <v>58.039999999999992</v>
      </c>
      <c r="P50" s="141">
        <v>200.27</v>
      </c>
      <c r="Q50" s="141">
        <v>204.51000000000002</v>
      </c>
      <c r="R50" s="141">
        <v>0</v>
      </c>
      <c r="S50" s="141">
        <v>0</v>
      </c>
      <c r="T50" s="141">
        <v>258.31</v>
      </c>
      <c r="U50" s="141">
        <v>71562.933099999995</v>
      </c>
    </row>
    <row r="51" spans="1:21" s="146" customFormat="1" ht="38.25" customHeight="1" x14ac:dyDescent="0.4">
      <c r="A51" s="313" t="s">
        <v>119</v>
      </c>
      <c r="B51" s="313"/>
      <c r="C51" s="141">
        <v>117282.28989999999</v>
      </c>
      <c r="D51" s="141">
        <v>280.75199999999995</v>
      </c>
      <c r="E51" s="141">
        <v>2249.4719999999998</v>
      </c>
      <c r="F51" s="141">
        <v>8.59</v>
      </c>
      <c r="G51" s="141">
        <v>107.51</v>
      </c>
      <c r="H51" s="141">
        <v>117554.45189999999</v>
      </c>
      <c r="I51" s="141">
        <v>9296.3230000000003</v>
      </c>
      <c r="J51" s="141">
        <v>97.352000000000004</v>
      </c>
      <c r="K51" s="141">
        <v>970.49099999999999</v>
      </c>
      <c r="L51" s="141">
        <v>0</v>
      </c>
      <c r="M51" s="141">
        <v>7.51</v>
      </c>
      <c r="N51" s="141">
        <v>9393.6749999999993</v>
      </c>
      <c r="O51" s="141">
        <v>1034.68</v>
      </c>
      <c r="P51" s="141">
        <v>201.1</v>
      </c>
      <c r="Q51" s="141">
        <v>330.44</v>
      </c>
      <c r="R51" s="141">
        <v>0</v>
      </c>
      <c r="S51" s="141">
        <v>36.14</v>
      </c>
      <c r="T51" s="141">
        <v>1235.78</v>
      </c>
      <c r="U51" s="141">
        <v>128183.90689999999</v>
      </c>
    </row>
    <row r="52" spans="1:21" s="111" customFormat="1" ht="24" customHeight="1" x14ac:dyDescent="0.4">
      <c r="A52" s="115"/>
      <c r="B52" s="115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</row>
    <row r="53" spans="1:21" s="111" customFormat="1" ht="19.5" customHeight="1" x14ac:dyDescent="0.4">
      <c r="A53" s="115"/>
      <c r="B53" s="115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</row>
    <row r="54" spans="1:21" s="115" customFormat="1" ht="24.75" hidden="1" customHeight="1" x14ac:dyDescent="0.4">
      <c r="B54" s="241"/>
      <c r="C54" s="278" t="s">
        <v>54</v>
      </c>
      <c r="D54" s="278"/>
      <c r="E54" s="278"/>
      <c r="F54" s="278"/>
      <c r="G54" s="278"/>
      <c r="H54" s="118"/>
      <c r="I54" s="241"/>
      <c r="J54" s="241">
        <f>D51+J51+P51-F51-L51-R51</f>
        <v>570.61399999999992</v>
      </c>
      <c r="K54" s="241"/>
      <c r="L54" s="241"/>
      <c r="M54" s="241"/>
      <c r="N54" s="241"/>
      <c r="R54" s="241"/>
      <c r="U54" s="241"/>
    </row>
    <row r="55" spans="1:21" s="115" customFormat="1" ht="30" hidden="1" customHeight="1" x14ac:dyDescent="0.35">
      <c r="B55" s="241"/>
      <c r="C55" s="278" t="s">
        <v>55</v>
      </c>
      <c r="D55" s="278"/>
      <c r="E55" s="278"/>
      <c r="F55" s="278"/>
      <c r="G55" s="278"/>
      <c r="H55" s="119"/>
      <c r="I55" s="241"/>
      <c r="J55" s="241">
        <f>E51+K51+Q51-G51-M51-S51</f>
        <v>3399.2429999999995</v>
      </c>
      <c r="K55" s="241"/>
      <c r="L55" s="241"/>
      <c r="M55" s="241"/>
      <c r="N55" s="241"/>
      <c r="R55" s="241"/>
      <c r="T55" s="241"/>
    </row>
    <row r="56" spans="1:21" ht="33" hidden="1" customHeight="1" x14ac:dyDescent="0.5">
      <c r="C56" s="278" t="s">
        <v>56</v>
      </c>
      <c r="D56" s="278"/>
      <c r="E56" s="278"/>
      <c r="F56" s="278"/>
      <c r="G56" s="278"/>
      <c r="H56" s="119"/>
      <c r="I56" s="121"/>
      <c r="J56" s="241">
        <f>H51+N51+T51</f>
        <v>128183.90689999999</v>
      </c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41"/>
      <c r="E57" s="241"/>
      <c r="F57" s="241"/>
      <c r="G57" s="241"/>
      <c r="H57" s="119"/>
      <c r="I57" s="121"/>
      <c r="J57" s="241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41"/>
      <c r="E58" s="241"/>
      <c r="F58" s="241"/>
      <c r="G58" s="241"/>
      <c r="H58" s="119"/>
      <c r="I58" s="121"/>
      <c r="J58" s="241"/>
      <c r="K58" s="119"/>
      <c r="L58" s="119"/>
      <c r="M58" s="142" t="e">
        <f>#REF!+'dec-2021'!J54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87" t="s">
        <v>57</v>
      </c>
      <c r="C59" s="287"/>
      <c r="D59" s="287"/>
      <c r="E59" s="287"/>
      <c r="F59" s="287"/>
      <c r="G59" s="153"/>
      <c r="H59" s="154"/>
      <c r="I59" s="155"/>
      <c r="J59" s="288"/>
      <c r="K59" s="286"/>
      <c r="L59" s="286"/>
      <c r="M59" s="169" t="e">
        <f>#REF!+'dec-2021'!J54</f>
        <v>#REF!</v>
      </c>
      <c r="N59" s="154"/>
      <c r="O59" s="154"/>
      <c r="P59" s="244"/>
      <c r="Q59" s="287" t="s">
        <v>58</v>
      </c>
      <c r="R59" s="287"/>
      <c r="S59" s="287"/>
      <c r="T59" s="287"/>
      <c r="U59" s="287"/>
    </row>
    <row r="60" spans="1:21" s="152" customFormat="1" ht="37.5" hidden="1" customHeight="1" x14ac:dyDescent="0.45">
      <c r="B60" s="287" t="s">
        <v>59</v>
      </c>
      <c r="C60" s="287"/>
      <c r="D60" s="287"/>
      <c r="E60" s="287"/>
      <c r="F60" s="287"/>
      <c r="G60" s="154"/>
      <c r="H60" s="153"/>
      <c r="I60" s="156"/>
      <c r="J60" s="157"/>
      <c r="K60" s="243"/>
      <c r="L60" s="157"/>
      <c r="M60" s="154"/>
      <c r="N60" s="153"/>
      <c r="O60" s="154"/>
      <c r="P60" s="244"/>
      <c r="Q60" s="287" t="s">
        <v>59</v>
      </c>
      <c r="R60" s="287"/>
      <c r="S60" s="287"/>
      <c r="T60" s="287"/>
      <c r="U60" s="287"/>
    </row>
    <row r="61" spans="1:21" s="152" customFormat="1" ht="37.5" hidden="1" customHeight="1" x14ac:dyDescent="0.45">
      <c r="I61" s="158"/>
      <c r="J61" s="286" t="s">
        <v>61</v>
      </c>
      <c r="K61" s="286"/>
      <c r="L61" s="286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#REF!+'dec-2021'!J54</f>
        <v>#REF!</v>
      </c>
      <c r="I62" s="158"/>
      <c r="J62" s="286" t="s">
        <v>62</v>
      </c>
      <c r="K62" s="286"/>
      <c r="L62" s="286"/>
      <c r="M62" s="159" t="e">
        <f>#REF!+'dec-2021'!J54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3:21" hidden="1" x14ac:dyDescent="0.35">
      <c r="H65" s="130"/>
      <c r="I65" s="131"/>
      <c r="J65" s="130"/>
    </row>
    <row r="66" spans="3:21" hidden="1" x14ac:dyDescent="0.35">
      <c r="H66" s="125">
        <f>'[2]nov 17'!J53+'[2]dec 17'!J51</f>
        <v>98988.2883</v>
      </c>
      <c r="I66" s="131"/>
      <c r="J66" s="130"/>
    </row>
    <row r="67" spans="3:21" x14ac:dyDescent="0.35">
      <c r="C67" s="119"/>
      <c r="H67" s="130"/>
      <c r="I67" s="131"/>
      <c r="J67" s="130"/>
    </row>
    <row r="68" spans="3:21" x14ac:dyDescent="0.35">
      <c r="H68" s="130"/>
      <c r="I68" s="131"/>
      <c r="J68" s="130"/>
    </row>
    <row r="69" spans="3:21" ht="31.5" x14ac:dyDescent="0.35">
      <c r="E69" s="139"/>
      <c r="P69" s="107"/>
      <c r="Q69" s="107"/>
      <c r="R69" s="107"/>
      <c r="S69" s="108"/>
      <c r="T69" s="107"/>
      <c r="U69" s="107"/>
    </row>
    <row r="70" spans="3:21" x14ac:dyDescent="0.35">
      <c r="P70" s="107"/>
      <c r="Q70" s="107"/>
      <c r="R70" s="107"/>
      <c r="S70" s="108"/>
      <c r="T70" s="107"/>
      <c r="U70" s="107"/>
    </row>
    <row r="71" spans="3:21" ht="31.5" x14ac:dyDescent="0.35">
      <c r="E71" s="139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7" right="0.7" top="0.75" bottom="0.75" header="0.3" footer="0.3"/>
  <pageSetup paperSize="9" scale="1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view="pageBreakPreview" topLeftCell="A34" zoomScale="40" zoomScaleNormal="55" zoomScaleSheetLayoutView="40" workbookViewId="0">
      <selection activeCell="F73" sqref="F73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152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53" t="s">
        <v>122</v>
      </c>
      <c r="B4" s="355" t="s">
        <v>121</v>
      </c>
      <c r="C4" s="358" t="s">
        <v>131</v>
      </c>
      <c r="D4" s="359"/>
      <c r="E4" s="359"/>
      <c r="F4" s="359"/>
      <c r="G4" s="359"/>
      <c r="H4" s="359"/>
      <c r="I4" s="358" t="s">
        <v>146</v>
      </c>
      <c r="J4" s="359"/>
      <c r="K4" s="359"/>
      <c r="L4" s="359"/>
      <c r="M4" s="359"/>
      <c r="N4" s="359"/>
      <c r="O4" s="358" t="s">
        <v>147</v>
      </c>
      <c r="P4" s="359"/>
      <c r="Q4" s="359"/>
      <c r="R4" s="359"/>
      <c r="S4" s="359"/>
      <c r="T4" s="359"/>
      <c r="U4" s="246"/>
    </row>
    <row r="5" spans="1:21" s="108" customFormat="1" ht="54.75" customHeight="1" x14ac:dyDescent="0.25">
      <c r="A5" s="354"/>
      <c r="B5" s="356"/>
      <c r="C5" s="349" t="s">
        <v>6</v>
      </c>
      <c r="D5" s="351" t="s">
        <v>127</v>
      </c>
      <c r="E5" s="352"/>
      <c r="F5" s="351" t="s">
        <v>126</v>
      </c>
      <c r="G5" s="352"/>
      <c r="H5" s="349" t="s">
        <v>9</v>
      </c>
      <c r="I5" s="349" t="s">
        <v>6</v>
      </c>
      <c r="J5" s="351" t="s">
        <v>127</v>
      </c>
      <c r="K5" s="352"/>
      <c r="L5" s="351" t="s">
        <v>126</v>
      </c>
      <c r="M5" s="352"/>
      <c r="N5" s="349" t="s">
        <v>9</v>
      </c>
      <c r="O5" s="349" t="s">
        <v>6</v>
      </c>
      <c r="P5" s="351" t="s">
        <v>127</v>
      </c>
      <c r="Q5" s="352"/>
      <c r="R5" s="351" t="s">
        <v>126</v>
      </c>
      <c r="S5" s="352"/>
      <c r="T5" s="349" t="s">
        <v>9</v>
      </c>
      <c r="U5" s="355" t="s">
        <v>128</v>
      </c>
    </row>
    <row r="6" spans="1:21" s="108" customFormat="1" ht="38.25" customHeight="1" x14ac:dyDescent="0.25">
      <c r="A6" s="354"/>
      <c r="B6" s="357"/>
      <c r="C6" s="350"/>
      <c r="D6" s="231" t="s">
        <v>124</v>
      </c>
      <c r="E6" s="231" t="s">
        <v>125</v>
      </c>
      <c r="F6" s="231" t="s">
        <v>124</v>
      </c>
      <c r="G6" s="231" t="s">
        <v>125</v>
      </c>
      <c r="H6" s="350"/>
      <c r="I6" s="350"/>
      <c r="J6" s="231" t="s">
        <v>124</v>
      </c>
      <c r="K6" s="231" t="s">
        <v>125</v>
      </c>
      <c r="L6" s="231" t="s">
        <v>124</v>
      </c>
      <c r="M6" s="231" t="s">
        <v>125</v>
      </c>
      <c r="N6" s="350"/>
      <c r="O6" s="350"/>
      <c r="P6" s="231" t="s">
        <v>124</v>
      </c>
      <c r="Q6" s="231" t="s">
        <v>125</v>
      </c>
      <c r="R6" s="231" t="s">
        <v>124</v>
      </c>
      <c r="S6" s="231" t="s">
        <v>125</v>
      </c>
      <c r="T6" s="350"/>
      <c r="U6" s="357"/>
    </row>
    <row r="7" spans="1:21" ht="38.25" customHeight="1" x14ac:dyDescent="0.35">
      <c r="A7" s="230">
        <v>1</v>
      </c>
      <c r="B7" s="231" t="s">
        <v>78</v>
      </c>
      <c r="C7" s="139">
        <v>48.239999999999981</v>
      </c>
      <c r="D7" s="139">
        <v>0</v>
      </c>
      <c r="E7" s="139">
        <v>0</v>
      </c>
      <c r="F7" s="139">
        <v>21.56</v>
      </c>
      <c r="G7" s="139">
        <v>63.36</v>
      </c>
      <c r="H7" s="139">
        <v>26.679999999999982</v>
      </c>
      <c r="I7" s="139">
        <v>668.95799999999986</v>
      </c>
      <c r="J7" s="139">
        <v>14.43</v>
      </c>
      <c r="K7" s="139">
        <v>99.170999999999992</v>
      </c>
      <c r="L7" s="139">
        <v>0</v>
      </c>
      <c r="M7" s="139">
        <v>0</v>
      </c>
      <c r="N7" s="139">
        <v>683.38799999999981</v>
      </c>
      <c r="O7" s="139">
        <v>8.436000000000007</v>
      </c>
      <c r="P7" s="139">
        <v>0</v>
      </c>
      <c r="Q7" s="139">
        <v>0</v>
      </c>
      <c r="R7" s="139">
        <v>0</v>
      </c>
      <c r="S7" s="139">
        <v>1.01</v>
      </c>
      <c r="T7" s="139">
        <v>8.436000000000007</v>
      </c>
      <c r="U7" s="139">
        <v>718.50399999999979</v>
      </c>
    </row>
    <row r="8" spans="1:21" ht="38.25" customHeight="1" x14ac:dyDescent="0.35">
      <c r="A8" s="230">
        <v>2</v>
      </c>
      <c r="B8" s="231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333.15500000000003</v>
      </c>
      <c r="J8" s="139">
        <v>7.73</v>
      </c>
      <c r="K8" s="139">
        <v>28.905000000000001</v>
      </c>
      <c r="L8" s="139">
        <v>0</v>
      </c>
      <c r="M8" s="139">
        <v>0</v>
      </c>
      <c r="N8" s="139">
        <v>340.88500000000005</v>
      </c>
      <c r="O8" s="139">
        <v>66.290000000000006</v>
      </c>
      <c r="P8" s="139">
        <v>0</v>
      </c>
      <c r="Q8" s="139">
        <v>0</v>
      </c>
      <c r="R8" s="139">
        <v>0</v>
      </c>
      <c r="S8" s="139">
        <v>0</v>
      </c>
      <c r="T8" s="139">
        <v>66.290000000000006</v>
      </c>
      <c r="U8" s="139">
        <v>672.56500000000005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855.71800000000007</v>
      </c>
      <c r="J9" s="139">
        <v>3.59</v>
      </c>
      <c r="K9" s="139">
        <v>102.75999999999999</v>
      </c>
      <c r="L9" s="139">
        <v>0</v>
      </c>
      <c r="M9" s="139">
        <v>0</v>
      </c>
      <c r="N9" s="139">
        <v>859.30800000000011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1113.2080000000001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348.99999999999994</v>
      </c>
      <c r="J10" s="139">
        <v>0.56999999999999995</v>
      </c>
      <c r="K10" s="139">
        <v>7.1950000000000003</v>
      </c>
      <c r="L10" s="139">
        <v>0</v>
      </c>
      <c r="M10" s="139">
        <v>0</v>
      </c>
      <c r="N10" s="139">
        <v>349.56999999999994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349.76999999999992</v>
      </c>
    </row>
    <row r="11" spans="1:21" s="111" customFormat="1" ht="38.25" customHeight="1" x14ac:dyDescent="0.4">
      <c r="A11" s="308" t="s">
        <v>82</v>
      </c>
      <c r="B11" s="309"/>
      <c r="C11" s="141">
        <v>522.79</v>
      </c>
      <c r="D11" s="141">
        <v>0</v>
      </c>
      <c r="E11" s="141">
        <v>0</v>
      </c>
      <c r="F11" s="141">
        <v>21.56</v>
      </c>
      <c r="G11" s="141">
        <v>63.36</v>
      </c>
      <c r="H11" s="141">
        <v>501.22999999999996</v>
      </c>
      <c r="I11" s="141">
        <v>2206.8309999999997</v>
      </c>
      <c r="J11" s="141">
        <v>26.32</v>
      </c>
      <c r="K11" s="141">
        <v>238.03099999999998</v>
      </c>
      <c r="L11" s="141">
        <v>0</v>
      </c>
      <c r="M11" s="141">
        <v>0</v>
      </c>
      <c r="N11" s="141">
        <v>2233.1509999999998</v>
      </c>
      <c r="O11" s="141">
        <v>119.66600000000001</v>
      </c>
      <c r="P11" s="141">
        <v>0</v>
      </c>
      <c r="Q11" s="141">
        <v>0</v>
      </c>
      <c r="R11" s="141">
        <v>0</v>
      </c>
      <c r="S11" s="141">
        <v>1.01</v>
      </c>
      <c r="T11" s="141">
        <v>119.66600000000001</v>
      </c>
      <c r="U11" s="141">
        <v>2854.047</v>
      </c>
    </row>
    <row r="12" spans="1:21" ht="38.25" customHeight="1" x14ac:dyDescent="0.35">
      <c r="A12" s="171">
        <v>4</v>
      </c>
      <c r="B12" s="231" t="s">
        <v>83</v>
      </c>
      <c r="C12" s="139">
        <v>355.3099999999996</v>
      </c>
      <c r="D12" s="139">
        <v>0</v>
      </c>
      <c r="E12" s="139">
        <v>0</v>
      </c>
      <c r="F12" s="139">
        <v>0</v>
      </c>
      <c r="G12" s="139">
        <v>0</v>
      </c>
      <c r="H12" s="139">
        <v>355.3099999999996</v>
      </c>
      <c r="I12" s="139">
        <v>960.8549999999999</v>
      </c>
      <c r="J12" s="221">
        <v>34.68</v>
      </c>
      <c r="K12" s="139">
        <v>84.789999999999992</v>
      </c>
      <c r="L12" s="139">
        <v>0</v>
      </c>
      <c r="M12" s="139">
        <v>0</v>
      </c>
      <c r="N12" s="139">
        <v>995.53499999999985</v>
      </c>
      <c r="O12" s="139">
        <v>36.850000000000009</v>
      </c>
      <c r="P12" s="139">
        <v>0</v>
      </c>
      <c r="Q12" s="139">
        <v>0</v>
      </c>
      <c r="R12" s="139">
        <v>0</v>
      </c>
      <c r="S12" s="139">
        <v>0</v>
      </c>
      <c r="T12" s="139">
        <v>36.850000000000009</v>
      </c>
      <c r="U12" s="139">
        <v>1387.6949999999993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v>0</v>
      </c>
      <c r="F13" s="139">
        <v>0</v>
      </c>
      <c r="G13" s="139">
        <v>0</v>
      </c>
      <c r="H13" s="139">
        <v>312.23000000000013</v>
      </c>
      <c r="I13" s="139">
        <v>531.76200000000017</v>
      </c>
      <c r="J13" s="221">
        <v>1.31</v>
      </c>
      <c r="K13" s="139">
        <v>5.24</v>
      </c>
      <c r="L13" s="139">
        <v>0</v>
      </c>
      <c r="M13" s="139">
        <v>0.7</v>
      </c>
      <c r="N13" s="139">
        <v>533.07200000000012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913.69200000000023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v>0</v>
      </c>
      <c r="F14" s="139">
        <v>0</v>
      </c>
      <c r="G14" s="139">
        <v>0</v>
      </c>
      <c r="H14" s="139">
        <v>1216.4399999999994</v>
      </c>
      <c r="I14" s="139">
        <v>878.50800000000015</v>
      </c>
      <c r="J14" s="221">
        <v>3.2</v>
      </c>
      <c r="K14" s="139">
        <v>16.920000000000002</v>
      </c>
      <c r="L14" s="139">
        <v>0</v>
      </c>
      <c r="M14" s="139">
        <v>0</v>
      </c>
      <c r="N14" s="139">
        <v>881.7080000000002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2159.4779999999996</v>
      </c>
    </row>
    <row r="15" spans="1:21" s="111" customFormat="1" ht="38.25" customHeight="1" x14ac:dyDescent="0.4">
      <c r="A15" s="308" t="s">
        <v>86</v>
      </c>
      <c r="B15" s="309"/>
      <c r="C15" s="141">
        <v>1883.9799999999991</v>
      </c>
      <c r="D15" s="141">
        <v>0</v>
      </c>
      <c r="E15" s="141">
        <v>0</v>
      </c>
      <c r="F15" s="141">
        <v>0</v>
      </c>
      <c r="G15" s="141">
        <v>0</v>
      </c>
      <c r="H15" s="141">
        <v>1883.9799999999991</v>
      </c>
      <c r="I15" s="141">
        <v>2371.1250000000005</v>
      </c>
      <c r="J15" s="141">
        <v>39.190000000000005</v>
      </c>
      <c r="K15" s="141">
        <v>106.94999999999999</v>
      </c>
      <c r="L15" s="141">
        <v>0</v>
      </c>
      <c r="M15" s="141">
        <v>0.7</v>
      </c>
      <c r="N15" s="141">
        <v>2410.3150000000005</v>
      </c>
      <c r="O15" s="141">
        <v>166.57</v>
      </c>
      <c r="P15" s="141">
        <v>0</v>
      </c>
      <c r="Q15" s="141">
        <v>0</v>
      </c>
      <c r="R15" s="141">
        <v>0</v>
      </c>
      <c r="S15" s="141">
        <v>0</v>
      </c>
      <c r="T15" s="141">
        <v>166.57</v>
      </c>
      <c r="U15" s="141">
        <v>4460.8649999999998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967.95400000000029</v>
      </c>
      <c r="D16" s="139">
        <v>1.99</v>
      </c>
      <c r="E16" s="139">
        <v>3.44</v>
      </c>
      <c r="F16" s="139">
        <v>140</v>
      </c>
      <c r="G16" s="139">
        <v>167.34</v>
      </c>
      <c r="H16" s="139">
        <v>829.9440000000003</v>
      </c>
      <c r="I16" s="139">
        <v>355.05599999999993</v>
      </c>
      <c r="J16" s="139">
        <v>212.06</v>
      </c>
      <c r="K16" s="139">
        <v>268.07</v>
      </c>
      <c r="L16" s="139">
        <v>0</v>
      </c>
      <c r="M16" s="139">
        <v>0</v>
      </c>
      <c r="N16" s="139">
        <v>567.11599999999999</v>
      </c>
      <c r="O16" s="139">
        <v>177.41200000000003</v>
      </c>
      <c r="P16" s="139">
        <v>0</v>
      </c>
      <c r="Q16" s="139">
        <v>0</v>
      </c>
      <c r="R16" s="139">
        <v>0</v>
      </c>
      <c r="S16" s="139">
        <v>0</v>
      </c>
      <c r="T16" s="139">
        <v>177.41200000000003</v>
      </c>
      <c r="U16" s="139">
        <v>1574.4720000000004</v>
      </c>
    </row>
    <row r="17" spans="1:21" ht="38.25" customHeight="1" x14ac:dyDescent="0.35">
      <c r="A17" s="171">
        <v>9</v>
      </c>
      <c r="B17" s="231" t="s">
        <v>120</v>
      </c>
      <c r="C17" s="139">
        <v>2.6759999999999478</v>
      </c>
      <c r="D17" s="139">
        <v>0</v>
      </c>
      <c r="E17" s="139">
        <v>0</v>
      </c>
      <c r="F17" s="139">
        <v>0</v>
      </c>
      <c r="G17" s="139">
        <v>3.74</v>
      </c>
      <c r="H17" s="139">
        <v>2.6759999999999478</v>
      </c>
      <c r="I17" s="139">
        <v>567.07000000000005</v>
      </c>
      <c r="J17" s="139">
        <v>3.56</v>
      </c>
      <c r="K17" s="139">
        <v>58.88</v>
      </c>
      <c r="L17" s="139">
        <v>0</v>
      </c>
      <c r="M17" s="139">
        <v>0</v>
      </c>
      <c r="N17" s="139">
        <v>570.63</v>
      </c>
      <c r="O17" s="139">
        <v>1.9700000000000002</v>
      </c>
      <c r="P17" s="139">
        <v>0</v>
      </c>
      <c r="Q17" s="139">
        <v>1.3399999999999999</v>
      </c>
      <c r="R17" s="139">
        <v>0</v>
      </c>
      <c r="S17" s="139">
        <v>5.7</v>
      </c>
      <c r="T17" s="139">
        <v>1.9700000000000002</v>
      </c>
      <c r="U17" s="139">
        <v>575.27599999999995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136.0160000000001</v>
      </c>
      <c r="D18" s="139">
        <v>0.75</v>
      </c>
      <c r="E18" s="139">
        <v>0.99</v>
      </c>
      <c r="F18" s="139">
        <v>0</v>
      </c>
      <c r="G18" s="139">
        <v>0</v>
      </c>
      <c r="H18" s="139">
        <v>136.7660000000001</v>
      </c>
      <c r="I18" s="139">
        <v>491.92699999999996</v>
      </c>
      <c r="J18" s="139">
        <v>0.11</v>
      </c>
      <c r="K18" s="139">
        <v>4.9700000000000006</v>
      </c>
      <c r="L18" s="139">
        <v>0</v>
      </c>
      <c r="M18" s="139">
        <v>0</v>
      </c>
      <c r="N18" s="139">
        <v>492.03699999999998</v>
      </c>
      <c r="O18" s="139">
        <v>38.869999999999997</v>
      </c>
      <c r="P18" s="139">
        <v>0.3</v>
      </c>
      <c r="Q18" s="139">
        <v>0.3</v>
      </c>
      <c r="R18" s="139">
        <v>0</v>
      </c>
      <c r="S18" s="139">
        <v>0</v>
      </c>
      <c r="T18" s="139">
        <v>39.169999999999995</v>
      </c>
      <c r="U18" s="139">
        <v>667.97300000000007</v>
      </c>
    </row>
    <row r="19" spans="1:21" s="111" customFormat="1" ht="38.25" customHeight="1" x14ac:dyDescent="0.4">
      <c r="A19" s="308" t="s">
        <v>89</v>
      </c>
      <c r="B19" s="309"/>
      <c r="C19" s="141">
        <v>1106.6460000000004</v>
      </c>
      <c r="D19" s="141">
        <v>2.74</v>
      </c>
      <c r="E19" s="141">
        <v>4.43</v>
      </c>
      <c r="F19" s="141">
        <v>140</v>
      </c>
      <c r="G19" s="141">
        <v>171.08</v>
      </c>
      <c r="H19" s="141">
        <v>969.38600000000042</v>
      </c>
      <c r="I19" s="141">
        <v>1414.0529999999999</v>
      </c>
      <c r="J19" s="141">
        <v>215.73000000000002</v>
      </c>
      <c r="K19" s="141">
        <v>331.92</v>
      </c>
      <c r="L19" s="141">
        <v>0</v>
      </c>
      <c r="M19" s="141">
        <v>0</v>
      </c>
      <c r="N19" s="141">
        <v>1629.7829999999999</v>
      </c>
      <c r="O19" s="141">
        <v>218.25200000000004</v>
      </c>
      <c r="P19" s="141">
        <v>0.3</v>
      </c>
      <c r="Q19" s="141">
        <v>1.64</v>
      </c>
      <c r="R19" s="141">
        <v>0</v>
      </c>
      <c r="S19" s="141">
        <v>5.7</v>
      </c>
      <c r="T19" s="141">
        <v>218.55200000000005</v>
      </c>
      <c r="U19" s="141">
        <v>2817.7210000000005</v>
      </c>
    </row>
    <row r="20" spans="1:21" ht="38.25" customHeight="1" x14ac:dyDescent="0.35">
      <c r="A20" s="171">
        <v>8</v>
      </c>
      <c r="B20" s="231" t="s">
        <v>91</v>
      </c>
      <c r="C20" s="139">
        <v>607.27999999999986</v>
      </c>
      <c r="D20" s="139">
        <v>0</v>
      </c>
      <c r="E20" s="139">
        <v>1.62</v>
      </c>
      <c r="F20" s="139">
        <v>0</v>
      </c>
      <c r="G20" s="139">
        <v>24.91</v>
      </c>
      <c r="H20" s="139">
        <v>607.27999999999986</v>
      </c>
      <c r="I20" s="139">
        <v>721.39800000000014</v>
      </c>
      <c r="J20" s="139">
        <v>3.07</v>
      </c>
      <c r="K20" s="139">
        <v>326.32</v>
      </c>
      <c r="L20" s="139">
        <v>0</v>
      </c>
      <c r="M20" s="139">
        <v>1.04</v>
      </c>
      <c r="N20" s="139">
        <v>724.46800000000019</v>
      </c>
      <c r="O20" s="139">
        <v>37.580000000000005</v>
      </c>
      <c r="P20" s="139">
        <v>0</v>
      </c>
      <c r="Q20" s="139">
        <v>0</v>
      </c>
      <c r="R20" s="139">
        <v>0</v>
      </c>
      <c r="S20" s="139">
        <v>2.77</v>
      </c>
      <c r="T20" s="139">
        <v>37.580000000000005</v>
      </c>
      <c r="U20" s="139">
        <v>1369.328</v>
      </c>
    </row>
    <row r="21" spans="1:21" ht="38.25" customHeight="1" x14ac:dyDescent="0.35">
      <c r="A21" s="171">
        <v>9</v>
      </c>
      <c r="B21" s="231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0</v>
      </c>
      <c r="H21" s="139">
        <v>22.51</v>
      </c>
      <c r="I21" s="139">
        <v>418.59700000000004</v>
      </c>
      <c r="J21" s="139">
        <v>0.41</v>
      </c>
      <c r="K21" s="139">
        <v>20.89</v>
      </c>
      <c r="L21" s="139">
        <v>0</v>
      </c>
      <c r="M21" s="139">
        <v>0</v>
      </c>
      <c r="N21" s="139">
        <v>419.00700000000006</v>
      </c>
      <c r="O21" s="139">
        <v>19.489999999999998</v>
      </c>
      <c r="P21" s="139">
        <v>0</v>
      </c>
      <c r="Q21" s="139">
        <v>0.12</v>
      </c>
      <c r="R21" s="139">
        <v>0</v>
      </c>
      <c r="S21" s="139">
        <v>0</v>
      </c>
      <c r="T21" s="139">
        <v>19.489999999999998</v>
      </c>
      <c r="U21" s="139">
        <v>461.00700000000006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v>0</v>
      </c>
      <c r="F22" s="139">
        <v>0</v>
      </c>
      <c r="G22" s="139">
        <v>0</v>
      </c>
      <c r="H22" s="139">
        <v>22.430000000000021</v>
      </c>
      <c r="I22" s="139">
        <v>693.24</v>
      </c>
      <c r="J22" s="139">
        <v>1.08</v>
      </c>
      <c r="K22" s="139">
        <v>5.43</v>
      </c>
      <c r="L22" s="139">
        <v>0</v>
      </c>
      <c r="M22" s="139">
        <v>0.08</v>
      </c>
      <c r="N22" s="139">
        <v>694.32</v>
      </c>
      <c r="O22" s="139">
        <v>0.60000000000000098</v>
      </c>
      <c r="P22" s="139">
        <v>0</v>
      </c>
      <c r="Q22" s="139">
        <v>0</v>
      </c>
      <c r="R22" s="139">
        <v>0</v>
      </c>
      <c r="S22" s="139">
        <v>0</v>
      </c>
      <c r="T22" s="139">
        <v>0.60000000000000098</v>
      </c>
      <c r="U22" s="139">
        <v>717.35000000000014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430.64</v>
      </c>
      <c r="D23" s="139">
        <v>0</v>
      </c>
      <c r="E23" s="139">
        <v>3.4</v>
      </c>
      <c r="F23" s="139">
        <v>0</v>
      </c>
      <c r="G23" s="139">
        <v>0</v>
      </c>
      <c r="H23" s="139">
        <v>430.64</v>
      </c>
      <c r="I23" s="139">
        <v>120.08499999999999</v>
      </c>
      <c r="J23" s="139">
        <v>2.29</v>
      </c>
      <c r="K23" s="139">
        <v>20.49</v>
      </c>
      <c r="L23" s="139">
        <v>0</v>
      </c>
      <c r="M23" s="139">
        <v>0</v>
      </c>
      <c r="N23" s="139">
        <v>122.375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575.51499999999999</v>
      </c>
    </row>
    <row r="24" spans="1:21" s="111" customFormat="1" ht="38.25" customHeight="1" x14ac:dyDescent="0.4">
      <c r="A24" s="313" t="s">
        <v>94</v>
      </c>
      <c r="B24" s="313"/>
      <c r="C24" s="141">
        <v>1082.8599999999999</v>
      </c>
      <c r="D24" s="141">
        <v>0</v>
      </c>
      <c r="E24" s="141">
        <v>5.0199999999999996</v>
      </c>
      <c r="F24" s="141">
        <v>0</v>
      </c>
      <c r="G24" s="141">
        <v>24.91</v>
      </c>
      <c r="H24" s="141">
        <v>1082.8599999999999</v>
      </c>
      <c r="I24" s="141">
        <v>1953.3200000000002</v>
      </c>
      <c r="J24" s="141">
        <v>6.8500000000000005</v>
      </c>
      <c r="K24" s="141">
        <v>373.13</v>
      </c>
      <c r="L24" s="141">
        <v>0</v>
      </c>
      <c r="M24" s="141">
        <v>1.1200000000000001</v>
      </c>
      <c r="N24" s="141">
        <v>1960.17</v>
      </c>
      <c r="O24" s="141">
        <v>80.170000000000016</v>
      </c>
      <c r="P24" s="141">
        <v>0</v>
      </c>
      <c r="Q24" s="141">
        <v>0.12</v>
      </c>
      <c r="R24" s="141">
        <v>0</v>
      </c>
      <c r="S24" s="141">
        <v>2.77</v>
      </c>
      <c r="T24" s="141">
        <v>80.170000000000016</v>
      </c>
      <c r="U24" s="141">
        <v>3123.2</v>
      </c>
    </row>
    <row r="25" spans="1:21" s="145" customFormat="1" ht="38.25" customHeight="1" x14ac:dyDescent="0.4">
      <c r="A25" s="308" t="s">
        <v>95</v>
      </c>
      <c r="B25" s="309"/>
      <c r="C25" s="141">
        <v>4596.2759999999998</v>
      </c>
      <c r="D25" s="141">
        <v>2.74</v>
      </c>
      <c r="E25" s="141">
        <v>9.4499999999999993</v>
      </c>
      <c r="F25" s="141">
        <v>161.56</v>
      </c>
      <c r="G25" s="141">
        <v>259.35000000000002</v>
      </c>
      <c r="H25" s="141">
        <v>4437.4559999999992</v>
      </c>
      <c r="I25" s="141">
        <v>7945.3289999999997</v>
      </c>
      <c r="J25" s="141">
        <v>288.09000000000003</v>
      </c>
      <c r="K25" s="141">
        <v>1050.0309999999999</v>
      </c>
      <c r="L25" s="141">
        <v>0</v>
      </c>
      <c r="M25" s="141">
        <v>1.82</v>
      </c>
      <c r="N25" s="141">
        <v>8233.4189999999999</v>
      </c>
      <c r="O25" s="141">
        <v>584.65800000000002</v>
      </c>
      <c r="P25" s="141">
        <v>0.3</v>
      </c>
      <c r="Q25" s="141">
        <v>1.7599999999999998</v>
      </c>
      <c r="R25" s="141">
        <v>0</v>
      </c>
      <c r="S25" s="141">
        <v>9.48</v>
      </c>
      <c r="T25" s="141">
        <v>584.95799999999997</v>
      </c>
      <c r="U25" s="141">
        <v>13255.833000000001</v>
      </c>
    </row>
    <row r="26" spans="1:21" ht="38.25" customHeight="1" x14ac:dyDescent="0.35">
      <c r="A26" s="171">
        <v>15</v>
      </c>
      <c r="B26" s="231" t="s">
        <v>96</v>
      </c>
      <c r="C26" s="139">
        <v>1584.4299999999998</v>
      </c>
      <c r="D26" s="139">
        <v>5.43</v>
      </c>
      <c r="E26" s="139">
        <v>36.879999999999995</v>
      </c>
      <c r="F26" s="139">
        <v>0</v>
      </c>
      <c r="G26" s="139">
        <v>0</v>
      </c>
      <c r="H26" s="139">
        <v>1589.86</v>
      </c>
      <c r="I26" s="139">
        <v>67.77</v>
      </c>
      <c r="J26" s="139">
        <v>0.26</v>
      </c>
      <c r="K26" s="139">
        <v>0.7</v>
      </c>
      <c r="L26" s="139">
        <v>0</v>
      </c>
      <c r="M26" s="139">
        <v>0</v>
      </c>
      <c r="N26" s="139">
        <v>68.03</v>
      </c>
      <c r="O26" s="139">
        <v>16.11</v>
      </c>
      <c r="P26" s="139">
        <v>0</v>
      </c>
      <c r="Q26" s="139">
        <v>0</v>
      </c>
      <c r="R26" s="139">
        <v>0</v>
      </c>
      <c r="S26" s="139">
        <v>0</v>
      </c>
      <c r="T26" s="139">
        <v>16.11</v>
      </c>
      <c r="U26" s="139">
        <v>1673.9999999999998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5642.095000000003</v>
      </c>
      <c r="D27" s="139">
        <v>7.35</v>
      </c>
      <c r="E27" s="139">
        <v>72.739999999999995</v>
      </c>
      <c r="F27" s="139">
        <v>0</v>
      </c>
      <c r="G27" s="139">
        <v>0</v>
      </c>
      <c r="H27" s="139">
        <v>5649.4450000000033</v>
      </c>
      <c r="I27" s="139">
        <v>602.32799999999997</v>
      </c>
      <c r="J27" s="139">
        <v>0.8</v>
      </c>
      <c r="K27" s="139">
        <v>8.9400000000000013</v>
      </c>
      <c r="L27" s="139">
        <v>0</v>
      </c>
      <c r="M27" s="139">
        <v>0</v>
      </c>
      <c r="N27" s="139">
        <v>603.12799999999993</v>
      </c>
      <c r="O27" s="139">
        <v>33.590000000000003</v>
      </c>
      <c r="P27" s="139">
        <v>0</v>
      </c>
      <c r="Q27" s="139">
        <v>0.1</v>
      </c>
      <c r="R27" s="139">
        <v>0</v>
      </c>
      <c r="S27" s="139">
        <v>0</v>
      </c>
      <c r="T27" s="139">
        <v>33.590000000000003</v>
      </c>
      <c r="U27" s="139">
        <v>6286.1630000000032</v>
      </c>
    </row>
    <row r="28" spans="1:21" s="111" customFormat="1" ht="38.25" customHeight="1" x14ac:dyDescent="0.4">
      <c r="A28" s="313" t="s">
        <v>98</v>
      </c>
      <c r="B28" s="313"/>
      <c r="C28" s="141">
        <v>7226.5250000000033</v>
      </c>
      <c r="D28" s="141">
        <v>12.78</v>
      </c>
      <c r="E28" s="141">
        <v>109.61999999999999</v>
      </c>
      <c r="F28" s="141">
        <v>0</v>
      </c>
      <c r="G28" s="141">
        <v>0</v>
      </c>
      <c r="H28" s="141">
        <v>7239.305000000003</v>
      </c>
      <c r="I28" s="141">
        <v>670.09799999999996</v>
      </c>
      <c r="J28" s="141">
        <v>1.06</v>
      </c>
      <c r="K28" s="141">
        <v>9.64</v>
      </c>
      <c r="L28" s="141">
        <v>0</v>
      </c>
      <c r="M28" s="141">
        <v>0</v>
      </c>
      <c r="N28" s="141">
        <v>671.1579999999999</v>
      </c>
      <c r="O28" s="141">
        <v>49.7</v>
      </c>
      <c r="P28" s="141">
        <v>0</v>
      </c>
      <c r="Q28" s="141">
        <v>0.1</v>
      </c>
      <c r="R28" s="141">
        <v>0</v>
      </c>
      <c r="S28" s="141">
        <v>0</v>
      </c>
      <c r="T28" s="141">
        <v>49.7</v>
      </c>
      <c r="U28" s="141">
        <v>7960.1630000000032</v>
      </c>
    </row>
    <row r="29" spans="1:21" ht="38.25" customHeight="1" x14ac:dyDescent="0.35">
      <c r="A29" s="171">
        <v>17</v>
      </c>
      <c r="B29" s="231" t="s">
        <v>99</v>
      </c>
      <c r="C29" s="139">
        <v>4715.5780000000013</v>
      </c>
      <c r="D29" s="139">
        <v>0.62</v>
      </c>
      <c r="E29" s="139">
        <v>62.73</v>
      </c>
      <c r="F29" s="139">
        <v>0</v>
      </c>
      <c r="G29" s="139">
        <v>0</v>
      </c>
      <c r="H29" s="139">
        <v>4716.1980000000012</v>
      </c>
      <c r="I29" s="139">
        <v>119.65</v>
      </c>
      <c r="J29" s="139">
        <v>0.26</v>
      </c>
      <c r="K29" s="139">
        <v>0.52</v>
      </c>
      <c r="L29" s="139">
        <v>0</v>
      </c>
      <c r="M29" s="139">
        <v>0</v>
      </c>
      <c r="N29" s="139">
        <v>119.91000000000001</v>
      </c>
      <c r="O29" s="139">
        <v>34.52000000000001</v>
      </c>
      <c r="P29" s="139">
        <v>0</v>
      </c>
      <c r="Q29" s="139">
        <v>0</v>
      </c>
      <c r="R29" s="139">
        <v>0</v>
      </c>
      <c r="S29" s="139">
        <v>23.2</v>
      </c>
      <c r="T29" s="139">
        <v>34.52000000000001</v>
      </c>
      <c r="U29" s="139">
        <v>4870.6280000000015</v>
      </c>
    </row>
    <row r="30" spans="1:21" ht="38.25" customHeight="1" x14ac:dyDescent="0.35">
      <c r="A30" s="171">
        <v>18</v>
      </c>
      <c r="B30" s="231" t="s">
        <v>100</v>
      </c>
      <c r="C30" s="139">
        <v>3651.5099999999998</v>
      </c>
      <c r="D30" s="139">
        <v>3.7</v>
      </c>
      <c r="E30" s="139">
        <v>42.870000000000012</v>
      </c>
      <c r="F30" s="139">
        <v>0</v>
      </c>
      <c r="G30" s="139">
        <v>0</v>
      </c>
      <c r="H30" s="139">
        <v>3655.2099999999996</v>
      </c>
      <c r="I30" s="139">
        <v>110.587</v>
      </c>
      <c r="J30" s="139">
        <v>0</v>
      </c>
      <c r="K30" s="139">
        <v>0</v>
      </c>
      <c r="L30" s="139">
        <v>0</v>
      </c>
      <c r="M30" s="139">
        <v>0</v>
      </c>
      <c r="N30" s="139">
        <v>110.587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3789.0469999999996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4679.1190000000006</v>
      </c>
      <c r="D31" s="139">
        <v>3.6760000000000002</v>
      </c>
      <c r="E31" s="139">
        <v>17.216000000000001</v>
      </c>
      <c r="F31" s="139">
        <v>0</v>
      </c>
      <c r="G31" s="139">
        <v>0</v>
      </c>
      <c r="H31" s="139">
        <v>4682.795000000001</v>
      </c>
      <c r="I31" s="139">
        <v>107.63000000000002</v>
      </c>
      <c r="J31" s="139">
        <v>0</v>
      </c>
      <c r="K31" s="139">
        <v>0</v>
      </c>
      <c r="L31" s="139">
        <v>0</v>
      </c>
      <c r="M31" s="139">
        <v>0</v>
      </c>
      <c r="N31" s="139">
        <v>107.63000000000002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4805.2750000000015</v>
      </c>
    </row>
    <row r="32" spans="1:21" ht="38.25" customHeight="1" x14ac:dyDescent="0.35">
      <c r="A32" s="171">
        <v>20</v>
      </c>
      <c r="B32" s="231" t="s">
        <v>102</v>
      </c>
      <c r="C32" s="139">
        <v>2347.7557999999995</v>
      </c>
      <c r="D32" s="139">
        <v>2.19</v>
      </c>
      <c r="E32" s="139">
        <v>16.809999999999999</v>
      </c>
      <c r="F32" s="139">
        <v>0</v>
      </c>
      <c r="G32" s="139">
        <v>9.7200000000000006</v>
      </c>
      <c r="H32" s="139">
        <v>2349.9457999999995</v>
      </c>
      <c r="I32" s="139">
        <v>86.236000000000004</v>
      </c>
      <c r="J32" s="139">
        <v>0.84</v>
      </c>
      <c r="K32" s="139">
        <v>4.3100000000000005</v>
      </c>
      <c r="L32" s="139">
        <v>0</v>
      </c>
      <c r="M32" s="139">
        <v>0</v>
      </c>
      <c r="N32" s="139">
        <v>87.076000000000008</v>
      </c>
      <c r="O32" s="139">
        <v>67.551999999999992</v>
      </c>
      <c r="P32" s="139">
        <v>0</v>
      </c>
      <c r="Q32" s="139">
        <v>0</v>
      </c>
      <c r="R32" s="139">
        <v>0</v>
      </c>
      <c r="S32" s="139">
        <v>0</v>
      </c>
      <c r="T32" s="139">
        <v>67.551999999999992</v>
      </c>
      <c r="U32" s="139">
        <v>2504.5737999999997</v>
      </c>
    </row>
    <row r="33" spans="1:21" s="111" customFormat="1" ht="38.25" customHeight="1" x14ac:dyDescent="0.4">
      <c r="A33" s="313" t="s">
        <v>99</v>
      </c>
      <c r="B33" s="313"/>
      <c r="C33" s="141">
        <v>15393.962800000001</v>
      </c>
      <c r="D33" s="141">
        <v>10.186</v>
      </c>
      <c r="E33" s="141">
        <v>139.626</v>
      </c>
      <c r="F33" s="141">
        <v>0</v>
      </c>
      <c r="G33" s="141">
        <v>9.7200000000000006</v>
      </c>
      <c r="H33" s="141">
        <v>15404.148800000001</v>
      </c>
      <c r="I33" s="141">
        <v>424.10300000000007</v>
      </c>
      <c r="J33" s="141">
        <v>1.1000000000000001</v>
      </c>
      <c r="K33" s="141">
        <v>4.83</v>
      </c>
      <c r="L33" s="141">
        <v>0</v>
      </c>
      <c r="M33" s="141">
        <v>0</v>
      </c>
      <c r="N33" s="141">
        <v>425.20300000000009</v>
      </c>
      <c r="O33" s="141">
        <v>140.172</v>
      </c>
      <c r="P33" s="141">
        <v>0</v>
      </c>
      <c r="Q33" s="141">
        <v>0</v>
      </c>
      <c r="R33" s="141">
        <v>0</v>
      </c>
      <c r="S33" s="141">
        <v>23.2</v>
      </c>
      <c r="T33" s="141">
        <v>140.172</v>
      </c>
      <c r="U33" s="141">
        <v>15969.523800000001</v>
      </c>
    </row>
    <row r="34" spans="1:21" ht="38.25" customHeight="1" x14ac:dyDescent="0.35">
      <c r="A34" s="171">
        <v>21</v>
      </c>
      <c r="B34" s="231" t="s">
        <v>103</v>
      </c>
      <c r="C34" s="139">
        <v>4536.87</v>
      </c>
      <c r="D34" s="139">
        <v>27.43</v>
      </c>
      <c r="E34" s="139">
        <v>125.19999999999999</v>
      </c>
      <c r="F34" s="139">
        <v>0</v>
      </c>
      <c r="G34" s="139">
        <v>0</v>
      </c>
      <c r="H34" s="139">
        <v>4564.3</v>
      </c>
      <c r="I34" s="139">
        <v>84.46</v>
      </c>
      <c r="J34" s="139">
        <v>0.49</v>
      </c>
      <c r="K34" s="139">
        <v>84.949999999999989</v>
      </c>
      <c r="L34" s="139">
        <v>0</v>
      </c>
      <c r="M34" s="139">
        <v>0</v>
      </c>
      <c r="N34" s="139">
        <v>84.949999999999989</v>
      </c>
      <c r="O34" s="139">
        <v>72.7</v>
      </c>
      <c r="P34" s="139">
        <v>0</v>
      </c>
      <c r="Q34" s="139">
        <v>72.7</v>
      </c>
      <c r="R34" s="139">
        <v>0</v>
      </c>
      <c r="S34" s="139">
        <v>0</v>
      </c>
      <c r="T34" s="139">
        <v>72.7</v>
      </c>
      <c r="U34" s="139">
        <v>4721.95</v>
      </c>
    </row>
    <row r="35" spans="1:21" ht="38.25" customHeight="1" x14ac:dyDescent="0.35">
      <c r="A35" s="171">
        <v>22</v>
      </c>
      <c r="B35" s="231" t="s">
        <v>104</v>
      </c>
      <c r="C35" s="139">
        <v>6376.0099999999975</v>
      </c>
      <c r="D35" s="139">
        <v>50.07</v>
      </c>
      <c r="E35" s="139">
        <v>216.5</v>
      </c>
      <c r="F35" s="139">
        <v>0</v>
      </c>
      <c r="G35" s="139">
        <v>0</v>
      </c>
      <c r="H35" s="139">
        <v>6426.0799999999972</v>
      </c>
      <c r="I35" s="139">
        <v>34.130000000000003</v>
      </c>
      <c r="J35" s="139">
        <v>0</v>
      </c>
      <c r="K35" s="139">
        <v>27.21</v>
      </c>
      <c r="L35" s="139">
        <v>0</v>
      </c>
      <c r="M35" s="139">
        <v>0</v>
      </c>
      <c r="N35" s="139">
        <v>34.130000000000003</v>
      </c>
      <c r="O35" s="139">
        <v>90.800000000000011</v>
      </c>
      <c r="P35" s="139">
        <v>0</v>
      </c>
      <c r="Q35" s="139">
        <v>32.380000000000003</v>
      </c>
      <c r="R35" s="139">
        <v>0</v>
      </c>
      <c r="S35" s="139">
        <v>0</v>
      </c>
      <c r="T35" s="139">
        <v>90.800000000000011</v>
      </c>
      <c r="U35" s="139">
        <v>6551.0099999999975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3563.54</v>
      </c>
      <c r="D36" s="139">
        <v>3.71</v>
      </c>
      <c r="E36" s="139">
        <v>116.14999999999999</v>
      </c>
      <c r="F36" s="139">
        <v>0</v>
      </c>
      <c r="G36" s="139">
        <v>0</v>
      </c>
      <c r="H36" s="139">
        <v>3567.25</v>
      </c>
      <c r="I36" s="139">
        <v>30.250000000000039</v>
      </c>
      <c r="J36" s="139">
        <v>0</v>
      </c>
      <c r="K36" s="139">
        <v>5.2</v>
      </c>
      <c r="L36" s="139">
        <v>0</v>
      </c>
      <c r="M36" s="139">
        <v>4.63</v>
      </c>
      <c r="N36" s="139">
        <v>30.250000000000039</v>
      </c>
      <c r="O36" s="139">
        <v>36.379999999999995</v>
      </c>
      <c r="P36" s="139">
        <v>0</v>
      </c>
      <c r="Q36" s="139">
        <v>19.29</v>
      </c>
      <c r="R36" s="139">
        <v>0</v>
      </c>
      <c r="S36" s="139">
        <v>0</v>
      </c>
      <c r="T36" s="139">
        <v>36.379999999999995</v>
      </c>
      <c r="U36" s="139">
        <v>3633.88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4898.3399999999974</v>
      </c>
      <c r="D37" s="139">
        <v>13.39</v>
      </c>
      <c r="E37" s="139">
        <v>123.61</v>
      </c>
      <c r="F37" s="139">
        <v>0</v>
      </c>
      <c r="G37" s="139">
        <v>0</v>
      </c>
      <c r="H37" s="139">
        <v>4911.7299999999977</v>
      </c>
      <c r="I37" s="139">
        <v>26.700000000000003</v>
      </c>
      <c r="J37" s="139">
        <v>0</v>
      </c>
      <c r="K37" s="139">
        <v>14.27</v>
      </c>
      <c r="L37" s="139">
        <v>0</v>
      </c>
      <c r="M37" s="139">
        <v>1.06</v>
      </c>
      <c r="N37" s="139">
        <v>26.700000000000003</v>
      </c>
      <c r="O37" s="139">
        <v>3.0599999999999996</v>
      </c>
      <c r="P37" s="139">
        <v>0</v>
      </c>
      <c r="Q37" s="139">
        <v>0</v>
      </c>
      <c r="R37" s="139">
        <v>0</v>
      </c>
      <c r="S37" s="139">
        <v>3.46</v>
      </c>
      <c r="T37" s="139">
        <v>3.0599999999999996</v>
      </c>
      <c r="U37" s="139">
        <v>4941.489999999998</v>
      </c>
    </row>
    <row r="38" spans="1:21" s="111" customFormat="1" ht="38.25" customHeight="1" x14ac:dyDescent="0.4">
      <c r="A38" s="313" t="s">
        <v>107</v>
      </c>
      <c r="B38" s="313"/>
      <c r="C38" s="141">
        <v>19374.759999999995</v>
      </c>
      <c r="D38" s="141">
        <v>94.6</v>
      </c>
      <c r="E38" s="141">
        <v>581.45999999999992</v>
      </c>
      <c r="F38" s="141">
        <v>0</v>
      </c>
      <c r="G38" s="141">
        <v>0</v>
      </c>
      <c r="H38" s="141">
        <v>19469.359999999993</v>
      </c>
      <c r="I38" s="141">
        <v>175.54000000000002</v>
      </c>
      <c r="J38" s="141">
        <v>0.49</v>
      </c>
      <c r="K38" s="141">
        <v>131.63</v>
      </c>
      <c r="L38" s="141">
        <v>0</v>
      </c>
      <c r="M38" s="141">
        <v>5.6899999999999995</v>
      </c>
      <c r="N38" s="141">
        <v>176.03000000000003</v>
      </c>
      <c r="O38" s="141">
        <v>202.94</v>
      </c>
      <c r="P38" s="141">
        <v>0</v>
      </c>
      <c r="Q38" s="141">
        <v>124.37</v>
      </c>
      <c r="R38" s="141">
        <v>0</v>
      </c>
      <c r="S38" s="141">
        <v>3.46</v>
      </c>
      <c r="T38" s="141">
        <v>202.94</v>
      </c>
      <c r="U38" s="141">
        <v>19848.329999999991</v>
      </c>
    </row>
    <row r="39" spans="1:21" s="145" customFormat="1" ht="38.25" customHeight="1" x14ac:dyDescent="0.4">
      <c r="A39" s="313" t="s">
        <v>108</v>
      </c>
      <c r="B39" s="313"/>
      <c r="C39" s="141">
        <v>41995.247799999997</v>
      </c>
      <c r="D39" s="141">
        <v>117.566</v>
      </c>
      <c r="E39" s="141">
        <v>830.7059999999999</v>
      </c>
      <c r="F39" s="141">
        <v>0</v>
      </c>
      <c r="G39" s="141">
        <v>9.7200000000000006</v>
      </c>
      <c r="H39" s="141">
        <v>42112.813799999996</v>
      </c>
      <c r="I39" s="141">
        <v>1269.741</v>
      </c>
      <c r="J39" s="141">
        <v>2.6500000000000004</v>
      </c>
      <c r="K39" s="141">
        <v>146.10000000000002</v>
      </c>
      <c r="L39" s="141">
        <v>0</v>
      </c>
      <c r="M39" s="141">
        <v>5.6899999999999995</v>
      </c>
      <c r="N39" s="141">
        <v>1272.3910000000001</v>
      </c>
      <c r="O39" s="141">
        <v>392.81199999999995</v>
      </c>
      <c r="P39" s="141">
        <v>0</v>
      </c>
      <c r="Q39" s="141">
        <v>124.47</v>
      </c>
      <c r="R39" s="141">
        <v>0</v>
      </c>
      <c r="S39" s="141">
        <v>26.66</v>
      </c>
      <c r="T39" s="141">
        <v>392.81199999999995</v>
      </c>
      <c r="U39" s="141">
        <v>43778.016799999998</v>
      </c>
    </row>
    <row r="40" spans="1:21" ht="38.25" customHeight="1" x14ac:dyDescent="0.35">
      <c r="A40" s="171">
        <v>25</v>
      </c>
      <c r="B40" s="231" t="s">
        <v>109</v>
      </c>
      <c r="C40" s="139">
        <v>11725.633999999998</v>
      </c>
      <c r="D40" s="139">
        <v>15.33</v>
      </c>
      <c r="E40" s="139">
        <v>350.52000000000004</v>
      </c>
      <c r="F40" s="139">
        <v>0</v>
      </c>
      <c r="G40" s="139">
        <v>0</v>
      </c>
      <c r="H40" s="139">
        <v>11740.963999999998</v>
      </c>
      <c r="I40" s="139">
        <v>198.73</v>
      </c>
      <c r="J40" s="139">
        <v>0</v>
      </c>
      <c r="K40" s="139">
        <v>0</v>
      </c>
      <c r="L40" s="139">
        <v>0</v>
      </c>
      <c r="M40" s="139">
        <v>0</v>
      </c>
      <c r="N40" s="139">
        <v>198.73</v>
      </c>
      <c r="O40" s="139">
        <v>53.46</v>
      </c>
      <c r="P40" s="139">
        <v>0</v>
      </c>
      <c r="Q40" s="139">
        <v>53.46</v>
      </c>
      <c r="R40" s="139">
        <v>0</v>
      </c>
      <c r="S40" s="139">
        <v>0</v>
      </c>
      <c r="T40" s="139">
        <v>53.46</v>
      </c>
      <c r="U40" s="139">
        <v>11993.153999999997</v>
      </c>
    </row>
    <row r="41" spans="1:21" ht="38.25" customHeight="1" x14ac:dyDescent="0.35">
      <c r="A41" s="171">
        <v>26</v>
      </c>
      <c r="B41" s="231" t="s">
        <v>110</v>
      </c>
      <c r="C41" s="139">
        <v>7953.7689999999939</v>
      </c>
      <c r="D41" s="139">
        <v>148.9</v>
      </c>
      <c r="E41" s="139">
        <v>604.63200000000006</v>
      </c>
      <c r="F41" s="139">
        <v>0</v>
      </c>
      <c r="G41" s="139">
        <v>0</v>
      </c>
      <c r="H41" s="139">
        <v>8102.6689999999935</v>
      </c>
      <c r="I41" s="139">
        <v>8.67</v>
      </c>
      <c r="J41" s="139">
        <v>0</v>
      </c>
      <c r="K41" s="139">
        <v>0</v>
      </c>
      <c r="L41" s="139">
        <v>0</v>
      </c>
      <c r="M41" s="139">
        <v>0</v>
      </c>
      <c r="N41" s="139">
        <v>8.67</v>
      </c>
      <c r="O41" s="139">
        <v>47.1</v>
      </c>
      <c r="P41" s="139">
        <v>0</v>
      </c>
      <c r="Q41" s="139">
        <v>47.1</v>
      </c>
      <c r="R41" s="139">
        <v>0</v>
      </c>
      <c r="S41" s="139">
        <v>0</v>
      </c>
      <c r="T41" s="139">
        <v>47.1</v>
      </c>
      <c r="U41" s="139">
        <v>8158.4389999999939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13860.478999999996</v>
      </c>
      <c r="D42" s="139">
        <v>4.88</v>
      </c>
      <c r="E42" s="139">
        <v>59.920000000000009</v>
      </c>
      <c r="F42" s="139">
        <v>0</v>
      </c>
      <c r="G42" s="139">
        <v>0</v>
      </c>
      <c r="H42" s="139">
        <v>13865.358999999995</v>
      </c>
      <c r="I42" s="139">
        <v>15.62</v>
      </c>
      <c r="J42" s="139">
        <v>0</v>
      </c>
      <c r="K42" s="139">
        <v>0</v>
      </c>
      <c r="L42" s="139">
        <v>0</v>
      </c>
      <c r="M42" s="139">
        <v>0</v>
      </c>
      <c r="N42" s="139">
        <v>15.62</v>
      </c>
      <c r="O42" s="139">
        <v>73.239999999999995</v>
      </c>
      <c r="P42" s="139">
        <v>0</v>
      </c>
      <c r="Q42" s="139">
        <v>34.22</v>
      </c>
      <c r="R42" s="139">
        <v>0</v>
      </c>
      <c r="S42" s="139">
        <v>0</v>
      </c>
      <c r="T42" s="139">
        <v>73.239999999999995</v>
      </c>
      <c r="U42" s="139">
        <v>13954.218999999996</v>
      </c>
    </row>
    <row r="43" spans="1:21" ht="38.25" customHeight="1" x14ac:dyDescent="0.35">
      <c r="A43" s="171">
        <v>28</v>
      </c>
      <c r="B43" s="231" t="s">
        <v>112</v>
      </c>
      <c r="C43" s="139">
        <v>4020.860000000001</v>
      </c>
      <c r="D43" s="139">
        <v>7.7</v>
      </c>
      <c r="E43" s="139">
        <v>61.080000000000005</v>
      </c>
      <c r="F43" s="139">
        <v>0</v>
      </c>
      <c r="G43" s="139">
        <v>0</v>
      </c>
      <c r="H43" s="139">
        <v>4028.5600000000009</v>
      </c>
      <c r="I43" s="139">
        <v>3.5</v>
      </c>
      <c r="J43" s="139">
        <v>0</v>
      </c>
      <c r="K43" s="139">
        <v>0</v>
      </c>
      <c r="L43" s="139">
        <v>0</v>
      </c>
      <c r="M43" s="139">
        <v>0</v>
      </c>
      <c r="N43" s="139">
        <v>3.5</v>
      </c>
      <c r="O43" s="139">
        <v>29.8</v>
      </c>
      <c r="P43" s="139">
        <v>0</v>
      </c>
      <c r="Q43" s="139">
        <v>29.8</v>
      </c>
      <c r="R43" s="139">
        <v>0</v>
      </c>
      <c r="S43" s="139">
        <v>0</v>
      </c>
      <c r="T43" s="139">
        <v>29.8</v>
      </c>
      <c r="U43" s="139">
        <v>4061.860000000001</v>
      </c>
    </row>
    <row r="44" spans="1:21" s="111" customFormat="1" ht="38.25" customHeight="1" x14ac:dyDescent="0.4">
      <c r="A44" s="313" t="s">
        <v>109</v>
      </c>
      <c r="B44" s="313"/>
      <c r="C44" s="141">
        <v>37560.741999999984</v>
      </c>
      <c r="D44" s="141">
        <v>176.81</v>
      </c>
      <c r="E44" s="141">
        <v>1076.152</v>
      </c>
      <c r="F44" s="141">
        <v>0</v>
      </c>
      <c r="G44" s="141">
        <v>0</v>
      </c>
      <c r="H44" s="141">
        <v>37737.551999999981</v>
      </c>
      <c r="I44" s="141">
        <v>226.51999999999998</v>
      </c>
      <c r="J44" s="141">
        <v>0</v>
      </c>
      <c r="K44" s="141">
        <v>0</v>
      </c>
      <c r="L44" s="141">
        <v>0</v>
      </c>
      <c r="M44" s="141">
        <v>0</v>
      </c>
      <c r="N44" s="141">
        <v>226.51999999999998</v>
      </c>
      <c r="O44" s="141">
        <v>203.60000000000002</v>
      </c>
      <c r="P44" s="141">
        <v>0</v>
      </c>
      <c r="Q44" s="141">
        <v>164.58</v>
      </c>
      <c r="R44" s="141">
        <v>0</v>
      </c>
      <c r="S44" s="141">
        <v>0</v>
      </c>
      <c r="T44" s="141">
        <v>203.60000000000002</v>
      </c>
      <c r="U44" s="141">
        <v>38167.671999999977</v>
      </c>
    </row>
    <row r="45" spans="1:21" ht="38.25" customHeight="1" x14ac:dyDescent="0.35">
      <c r="A45" s="171">
        <v>29</v>
      </c>
      <c r="B45" s="231" t="s">
        <v>113</v>
      </c>
      <c r="C45" s="139">
        <v>8125.7921000000006</v>
      </c>
      <c r="D45" s="139">
        <v>26.36</v>
      </c>
      <c r="E45" s="139">
        <v>100.17</v>
      </c>
      <c r="F45" s="139">
        <v>0</v>
      </c>
      <c r="G45" s="139">
        <v>0</v>
      </c>
      <c r="H45" s="139">
        <v>8152.1521000000002</v>
      </c>
      <c r="I45" s="139">
        <v>107.02</v>
      </c>
      <c r="J45" s="139">
        <v>50.01</v>
      </c>
      <c r="K45" s="139">
        <v>115.10999999999999</v>
      </c>
      <c r="L45" s="139">
        <v>0</v>
      </c>
      <c r="M45" s="139">
        <v>0</v>
      </c>
      <c r="N45" s="139">
        <v>157.03</v>
      </c>
      <c r="O45" s="139">
        <v>28.81</v>
      </c>
      <c r="P45" s="139">
        <v>26.43</v>
      </c>
      <c r="Q45" s="139">
        <v>40.489999999999995</v>
      </c>
      <c r="R45" s="139">
        <v>0</v>
      </c>
      <c r="S45" s="139">
        <v>0</v>
      </c>
      <c r="T45" s="139">
        <v>55.239999999999995</v>
      </c>
      <c r="U45" s="139">
        <v>8364.4220999999998</v>
      </c>
    </row>
    <row r="46" spans="1:21" ht="38.25" customHeight="1" x14ac:dyDescent="0.35">
      <c r="A46" s="171">
        <v>30</v>
      </c>
      <c r="B46" s="231" t="s">
        <v>114</v>
      </c>
      <c r="C46" s="139">
        <v>7785.2050000000017</v>
      </c>
      <c r="D46" s="139">
        <v>1.93</v>
      </c>
      <c r="E46" s="139">
        <v>48.64</v>
      </c>
      <c r="F46" s="139">
        <v>0</v>
      </c>
      <c r="G46" s="139">
        <v>0</v>
      </c>
      <c r="H46" s="139">
        <v>7787.135000000002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11.75</v>
      </c>
      <c r="P46" s="139">
        <v>25.43</v>
      </c>
      <c r="Q46" s="139">
        <v>37.18</v>
      </c>
      <c r="R46" s="139">
        <v>0</v>
      </c>
      <c r="S46" s="139">
        <v>0</v>
      </c>
      <c r="T46" s="139">
        <v>37.18</v>
      </c>
      <c r="U46" s="139">
        <v>7824.3150000000023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8918.34</v>
      </c>
      <c r="D47" s="139">
        <v>8.15</v>
      </c>
      <c r="E47" s="139">
        <v>141.85000000000002</v>
      </c>
      <c r="F47" s="139">
        <v>0</v>
      </c>
      <c r="G47" s="139">
        <v>0</v>
      </c>
      <c r="H47" s="139">
        <v>8926.49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9.94</v>
      </c>
      <c r="P47" s="139">
        <v>0</v>
      </c>
      <c r="Q47" s="139">
        <v>9.91</v>
      </c>
      <c r="R47" s="139">
        <v>0</v>
      </c>
      <c r="S47" s="139">
        <v>0</v>
      </c>
      <c r="T47" s="139">
        <v>9.94</v>
      </c>
      <c r="U47" s="139">
        <v>8939.56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8572.8490000000002</v>
      </c>
      <c r="D48" s="139">
        <v>4.09</v>
      </c>
      <c r="E48" s="139">
        <v>380.15</v>
      </c>
      <c r="F48" s="139">
        <v>0</v>
      </c>
      <c r="G48" s="139">
        <v>0</v>
      </c>
      <c r="H48" s="139">
        <v>8576.9390000000003</v>
      </c>
      <c r="I48" s="139">
        <v>5.0249999999999995</v>
      </c>
      <c r="J48" s="139">
        <v>0</v>
      </c>
      <c r="K48" s="139">
        <v>0</v>
      </c>
      <c r="L48" s="139">
        <v>0</v>
      </c>
      <c r="M48" s="139">
        <v>0</v>
      </c>
      <c r="N48" s="139">
        <v>5.0249999999999995</v>
      </c>
      <c r="O48" s="139">
        <v>4.21</v>
      </c>
      <c r="P48" s="139">
        <v>0</v>
      </c>
      <c r="Q48" s="139">
        <v>4.21</v>
      </c>
      <c r="R48" s="139">
        <v>0</v>
      </c>
      <c r="S48" s="139">
        <v>0</v>
      </c>
      <c r="T48" s="139">
        <v>4.21</v>
      </c>
      <c r="U48" s="139">
        <v>8586.1739999999991</v>
      </c>
    </row>
    <row r="49" spans="1:21" s="111" customFormat="1" ht="38.25" customHeight="1" x14ac:dyDescent="0.4">
      <c r="A49" s="313" t="s">
        <v>117</v>
      </c>
      <c r="B49" s="313"/>
      <c r="C49" s="141">
        <v>33402.186100000006</v>
      </c>
      <c r="D49" s="141">
        <v>40.53</v>
      </c>
      <c r="E49" s="141">
        <v>670.81</v>
      </c>
      <c r="F49" s="141">
        <v>0</v>
      </c>
      <c r="G49" s="141">
        <v>0</v>
      </c>
      <c r="H49" s="141">
        <v>33442.716100000005</v>
      </c>
      <c r="I49" s="141">
        <v>115.175</v>
      </c>
      <c r="J49" s="141">
        <v>50.01</v>
      </c>
      <c r="K49" s="141">
        <v>115.10999999999999</v>
      </c>
      <c r="L49" s="141">
        <v>0</v>
      </c>
      <c r="M49" s="141">
        <v>0</v>
      </c>
      <c r="N49" s="141">
        <v>165.185</v>
      </c>
      <c r="O49" s="141">
        <v>54.71</v>
      </c>
      <c r="P49" s="141">
        <v>51.86</v>
      </c>
      <c r="Q49" s="141">
        <v>91.789999999999978</v>
      </c>
      <c r="R49" s="141">
        <v>0</v>
      </c>
      <c r="S49" s="141">
        <v>0</v>
      </c>
      <c r="T49" s="141">
        <v>106.57</v>
      </c>
      <c r="U49" s="141">
        <v>33714.471100000002</v>
      </c>
    </row>
    <row r="50" spans="1:21" s="145" customFormat="1" ht="38.25" customHeight="1" x14ac:dyDescent="0.4">
      <c r="A50" s="313" t="s">
        <v>118</v>
      </c>
      <c r="B50" s="313"/>
      <c r="C50" s="141">
        <v>70962.92809999999</v>
      </c>
      <c r="D50" s="141">
        <v>217.34</v>
      </c>
      <c r="E50" s="141">
        <v>1746.962</v>
      </c>
      <c r="F50" s="141">
        <v>0</v>
      </c>
      <c r="G50" s="141">
        <v>0</v>
      </c>
      <c r="H50" s="141">
        <v>71180.268099999987</v>
      </c>
      <c r="I50" s="141">
        <v>341.69499999999999</v>
      </c>
      <c r="J50" s="141">
        <v>50.01</v>
      </c>
      <c r="K50" s="141">
        <v>115.10999999999999</v>
      </c>
      <c r="L50" s="141">
        <v>0</v>
      </c>
      <c r="M50" s="141">
        <v>0</v>
      </c>
      <c r="N50" s="141">
        <v>391.70499999999998</v>
      </c>
      <c r="O50" s="141">
        <v>258.31</v>
      </c>
      <c r="P50" s="141">
        <v>51.86</v>
      </c>
      <c r="Q50" s="141">
        <v>256.37</v>
      </c>
      <c r="R50" s="141">
        <v>0</v>
      </c>
      <c r="S50" s="141">
        <v>0</v>
      </c>
      <c r="T50" s="141">
        <v>310.17</v>
      </c>
      <c r="U50" s="141">
        <v>71882.143099999987</v>
      </c>
    </row>
    <row r="51" spans="1:21" s="146" customFormat="1" ht="38.25" customHeight="1" x14ac:dyDescent="0.4">
      <c r="A51" s="313" t="s">
        <v>119</v>
      </c>
      <c r="B51" s="313"/>
      <c r="C51" s="141">
        <v>117554.45189999999</v>
      </c>
      <c r="D51" s="141">
        <v>337.64600000000002</v>
      </c>
      <c r="E51" s="141">
        <v>2587.1179999999995</v>
      </c>
      <c r="F51" s="141">
        <v>161.56</v>
      </c>
      <c r="G51" s="141">
        <v>269.07000000000005</v>
      </c>
      <c r="H51" s="141">
        <v>117730.53789999998</v>
      </c>
      <c r="I51" s="141">
        <v>9556.7649999999994</v>
      </c>
      <c r="J51" s="141">
        <v>340.75</v>
      </c>
      <c r="K51" s="141">
        <v>1311.241</v>
      </c>
      <c r="L51" s="141">
        <v>0</v>
      </c>
      <c r="M51" s="141">
        <v>7.51</v>
      </c>
      <c r="N51" s="141">
        <v>9897.5149999999994</v>
      </c>
      <c r="O51" s="141">
        <v>1235.78</v>
      </c>
      <c r="P51" s="141">
        <v>52.16</v>
      </c>
      <c r="Q51" s="141">
        <v>382.6</v>
      </c>
      <c r="R51" s="141">
        <v>0</v>
      </c>
      <c r="S51" s="141">
        <v>36.14</v>
      </c>
      <c r="T51" s="141">
        <v>1287.94</v>
      </c>
      <c r="U51" s="141">
        <v>128915.99289999998</v>
      </c>
    </row>
    <row r="52" spans="1:21" s="111" customFormat="1" ht="24" customHeight="1" x14ac:dyDescent="0.4">
      <c r="A52" s="115"/>
      <c r="B52" s="11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</row>
    <row r="53" spans="1:21" s="115" customFormat="1" ht="24.75" hidden="1" customHeight="1" x14ac:dyDescent="0.4">
      <c r="B53" s="245"/>
      <c r="C53" s="278" t="s">
        <v>54</v>
      </c>
      <c r="D53" s="278"/>
      <c r="E53" s="278"/>
      <c r="F53" s="278"/>
      <c r="G53" s="278"/>
      <c r="H53" s="118"/>
      <c r="I53" s="245"/>
      <c r="J53" s="245">
        <f>D51+J51+P51-F51-L51-R51</f>
        <v>568.99599999999987</v>
      </c>
      <c r="K53" s="245"/>
      <c r="L53" s="245"/>
      <c r="M53" s="245"/>
      <c r="N53" s="245"/>
      <c r="R53" s="245"/>
      <c r="U53" s="245"/>
    </row>
    <row r="54" spans="1:21" s="115" customFormat="1" ht="30" hidden="1" customHeight="1" x14ac:dyDescent="0.35">
      <c r="B54" s="245"/>
      <c r="C54" s="278" t="s">
        <v>55</v>
      </c>
      <c r="D54" s="278"/>
      <c r="E54" s="278"/>
      <c r="F54" s="278"/>
      <c r="G54" s="278"/>
      <c r="H54" s="119"/>
      <c r="I54" s="245"/>
      <c r="J54" s="245">
        <f>E51+K51+Q51-G51-M51-S51</f>
        <v>3968.2389999999996</v>
      </c>
      <c r="K54" s="245"/>
      <c r="L54" s="245"/>
      <c r="M54" s="245"/>
      <c r="N54" s="245"/>
      <c r="R54" s="245"/>
      <c r="T54" s="245"/>
    </row>
    <row r="55" spans="1:21" ht="33" hidden="1" customHeight="1" x14ac:dyDescent="0.5">
      <c r="C55" s="278" t="s">
        <v>56</v>
      </c>
      <c r="D55" s="278"/>
      <c r="E55" s="278"/>
      <c r="F55" s="278"/>
      <c r="G55" s="278"/>
      <c r="H55" s="119"/>
      <c r="I55" s="121"/>
      <c r="J55" s="245">
        <f>H51+N51+T51</f>
        <v>128915.99289999998</v>
      </c>
      <c r="K55" s="119"/>
      <c r="L55" s="119"/>
      <c r="M55" s="142" t="e">
        <f>#REF!+'dec-2021'!J54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45"/>
      <c r="E56" s="245"/>
      <c r="F56" s="245"/>
      <c r="G56" s="245"/>
      <c r="H56" s="119"/>
      <c r="I56" s="121"/>
      <c r="J56" s="245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45"/>
      <c r="E57" s="245"/>
      <c r="F57" s="245"/>
      <c r="G57" s="245"/>
      <c r="H57" s="119"/>
      <c r="I57" s="121"/>
      <c r="J57" s="245"/>
      <c r="K57" s="119"/>
      <c r="L57" s="119"/>
      <c r="M57" s="142" t="e">
        <f>#REF!+'dec-2021'!J54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87" t="s">
        <v>57</v>
      </c>
      <c r="C58" s="287"/>
      <c r="D58" s="287"/>
      <c r="E58" s="287"/>
      <c r="F58" s="287"/>
      <c r="G58" s="153"/>
      <c r="H58" s="154"/>
      <c r="I58" s="155"/>
      <c r="J58" s="288"/>
      <c r="K58" s="286"/>
      <c r="L58" s="286"/>
      <c r="M58" s="169" t="e">
        <f>#REF!+'dec-2021'!J54</f>
        <v>#REF!</v>
      </c>
      <c r="N58" s="154"/>
      <c r="O58" s="154"/>
      <c r="P58" s="248"/>
      <c r="Q58" s="287" t="s">
        <v>58</v>
      </c>
      <c r="R58" s="287"/>
      <c r="S58" s="287"/>
      <c r="T58" s="287"/>
      <c r="U58" s="287"/>
    </row>
    <row r="59" spans="1:21" s="152" customFormat="1" ht="37.5" hidden="1" customHeight="1" x14ac:dyDescent="0.45">
      <c r="B59" s="287" t="s">
        <v>59</v>
      </c>
      <c r="C59" s="287"/>
      <c r="D59" s="287"/>
      <c r="E59" s="287"/>
      <c r="F59" s="287"/>
      <c r="G59" s="154"/>
      <c r="H59" s="153"/>
      <c r="I59" s="156"/>
      <c r="J59" s="157"/>
      <c r="K59" s="247"/>
      <c r="L59" s="157"/>
      <c r="M59" s="154"/>
      <c r="N59" s="153"/>
      <c r="O59" s="154"/>
      <c r="P59" s="248"/>
      <c r="Q59" s="287" t="s">
        <v>59</v>
      </c>
      <c r="R59" s="287"/>
      <c r="S59" s="287"/>
      <c r="T59" s="287"/>
      <c r="U59" s="287"/>
    </row>
    <row r="60" spans="1:21" s="152" customFormat="1" ht="37.5" hidden="1" customHeight="1" x14ac:dyDescent="0.45">
      <c r="I60" s="158"/>
      <c r="J60" s="286" t="s">
        <v>61</v>
      </c>
      <c r="K60" s="286"/>
      <c r="L60" s="286"/>
      <c r="M60" s="159" t="e">
        <f>#REF!+'dec-2021'!J54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#REF!+'dec-2021'!J54</f>
        <v>#REF!</v>
      </c>
      <c r="I61" s="158"/>
      <c r="J61" s="286" t="s">
        <v>62</v>
      </c>
      <c r="K61" s="286"/>
      <c r="L61" s="286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3:10" hidden="1" x14ac:dyDescent="0.35">
      <c r="H65" s="125">
        <f>'[2]nov 17'!J53+'[2]dec 17'!J51</f>
        <v>98988.2883</v>
      </c>
      <c r="I65" s="131"/>
      <c r="J65" s="130"/>
    </row>
    <row r="66" spans="3:10" x14ac:dyDescent="0.35">
      <c r="C66" s="119"/>
      <c r="H66" s="130"/>
      <c r="I66" s="131"/>
      <c r="J66" s="130"/>
    </row>
    <row r="67" spans="3:10" ht="18" customHeight="1" x14ac:dyDescent="0.35">
      <c r="H67" s="130"/>
      <c r="I67" s="131"/>
      <c r="J67" s="130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7" right="0.7" top="0.75" bottom="0.75" header="0.3" footer="0.3"/>
  <pageSetup paperSize="9" scale="15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view="pageBreakPreview" topLeftCell="E37" zoomScale="40" zoomScaleNormal="55" zoomScaleSheetLayoutView="40" workbookViewId="0">
      <selection activeCell="L16" sqref="L16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3" width="25.42578125" style="107" customWidth="1"/>
    <col min="14" max="14" width="28.7109375" style="107" customWidth="1"/>
    <col min="15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153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53" t="s">
        <v>122</v>
      </c>
      <c r="B4" s="355" t="s">
        <v>121</v>
      </c>
      <c r="C4" s="358" t="s">
        <v>131</v>
      </c>
      <c r="D4" s="359"/>
      <c r="E4" s="359"/>
      <c r="F4" s="359"/>
      <c r="G4" s="359"/>
      <c r="H4" s="359"/>
      <c r="I4" s="358" t="s">
        <v>146</v>
      </c>
      <c r="J4" s="359"/>
      <c r="K4" s="359"/>
      <c r="L4" s="359"/>
      <c r="M4" s="359"/>
      <c r="N4" s="359"/>
      <c r="O4" s="358" t="s">
        <v>147</v>
      </c>
      <c r="P4" s="359"/>
      <c r="Q4" s="359"/>
      <c r="R4" s="359"/>
      <c r="S4" s="359"/>
      <c r="T4" s="359"/>
      <c r="U4" s="250"/>
    </row>
    <row r="5" spans="1:21" s="108" customFormat="1" ht="54.75" customHeight="1" x14ac:dyDescent="0.25">
      <c r="A5" s="354"/>
      <c r="B5" s="356"/>
      <c r="C5" s="349" t="s">
        <v>6</v>
      </c>
      <c r="D5" s="351" t="s">
        <v>127</v>
      </c>
      <c r="E5" s="352"/>
      <c r="F5" s="351" t="s">
        <v>126</v>
      </c>
      <c r="G5" s="352"/>
      <c r="H5" s="349" t="s">
        <v>9</v>
      </c>
      <c r="I5" s="349" t="s">
        <v>6</v>
      </c>
      <c r="J5" s="351" t="s">
        <v>127</v>
      </c>
      <c r="K5" s="352"/>
      <c r="L5" s="351" t="s">
        <v>126</v>
      </c>
      <c r="M5" s="352"/>
      <c r="N5" s="349" t="s">
        <v>9</v>
      </c>
      <c r="O5" s="349" t="s">
        <v>6</v>
      </c>
      <c r="P5" s="351" t="s">
        <v>127</v>
      </c>
      <c r="Q5" s="352"/>
      <c r="R5" s="351" t="s">
        <v>126</v>
      </c>
      <c r="S5" s="352"/>
      <c r="T5" s="349" t="s">
        <v>9</v>
      </c>
      <c r="U5" s="355" t="s">
        <v>128</v>
      </c>
    </row>
    <row r="6" spans="1:21" s="108" customFormat="1" ht="38.25" customHeight="1" x14ac:dyDescent="0.25">
      <c r="A6" s="354"/>
      <c r="B6" s="357"/>
      <c r="C6" s="350"/>
      <c r="D6" s="231" t="s">
        <v>124</v>
      </c>
      <c r="E6" s="231" t="s">
        <v>125</v>
      </c>
      <c r="F6" s="231" t="s">
        <v>124</v>
      </c>
      <c r="G6" s="231" t="s">
        <v>125</v>
      </c>
      <c r="H6" s="350"/>
      <c r="I6" s="350"/>
      <c r="J6" s="231" t="s">
        <v>124</v>
      </c>
      <c r="K6" s="231" t="s">
        <v>125</v>
      </c>
      <c r="L6" s="231" t="s">
        <v>124</v>
      </c>
      <c r="M6" s="231" t="s">
        <v>125</v>
      </c>
      <c r="N6" s="350"/>
      <c r="O6" s="350"/>
      <c r="P6" s="231" t="s">
        <v>124</v>
      </c>
      <c r="Q6" s="231" t="s">
        <v>125</v>
      </c>
      <c r="R6" s="231" t="s">
        <v>124</v>
      </c>
      <c r="S6" s="231" t="s">
        <v>125</v>
      </c>
      <c r="T6" s="350"/>
      <c r="U6" s="357"/>
    </row>
    <row r="7" spans="1:21" ht="38.25" customHeight="1" x14ac:dyDescent="0.35">
      <c r="A7" s="230">
        <v>1</v>
      </c>
      <c r="B7" s="231" t="s">
        <v>78</v>
      </c>
      <c r="C7" s="139">
        <v>26.679999999999982</v>
      </c>
      <c r="D7" s="139">
        <v>0</v>
      </c>
      <c r="E7" s="139">
        <v>0</v>
      </c>
      <c r="F7" s="139">
        <v>13.5</v>
      </c>
      <c r="G7" s="139">
        <v>76.86</v>
      </c>
      <c r="H7" s="139">
        <v>13.179999999999982</v>
      </c>
      <c r="I7" s="139">
        <v>683.38799999999981</v>
      </c>
      <c r="J7" s="139">
        <v>4.2949999999999999</v>
      </c>
      <c r="K7" s="139">
        <v>103.46599999999999</v>
      </c>
      <c r="L7" s="139">
        <v>0</v>
      </c>
      <c r="M7" s="139">
        <v>0</v>
      </c>
      <c r="N7" s="139">
        <v>687.68299999999977</v>
      </c>
      <c r="O7" s="139">
        <v>8.436000000000007</v>
      </c>
      <c r="P7" s="139">
        <v>0</v>
      </c>
      <c r="Q7" s="139">
        <v>0</v>
      </c>
      <c r="R7" s="139">
        <v>0</v>
      </c>
      <c r="S7" s="139">
        <v>1.01</v>
      </c>
      <c r="T7" s="139">
        <v>8.436000000000007</v>
      </c>
      <c r="U7" s="139">
        <v>709.29899999999975</v>
      </c>
    </row>
    <row r="8" spans="1:21" ht="38.25" customHeight="1" x14ac:dyDescent="0.35">
      <c r="A8" s="230">
        <v>2</v>
      </c>
      <c r="B8" s="231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340.88500000000005</v>
      </c>
      <c r="J8" s="139">
        <v>11.7</v>
      </c>
      <c r="K8" s="139">
        <v>40.605000000000004</v>
      </c>
      <c r="L8" s="139">
        <v>0</v>
      </c>
      <c r="M8" s="139">
        <v>0</v>
      </c>
      <c r="N8" s="139">
        <v>352.58500000000004</v>
      </c>
      <c r="O8" s="139">
        <v>66.290000000000006</v>
      </c>
      <c r="P8" s="139">
        <v>0</v>
      </c>
      <c r="Q8" s="139">
        <v>0</v>
      </c>
      <c r="R8" s="139">
        <v>0</v>
      </c>
      <c r="S8" s="139">
        <v>0</v>
      </c>
      <c r="T8" s="139">
        <v>66.290000000000006</v>
      </c>
      <c r="U8" s="139">
        <v>684.26499999999999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859.30800000000011</v>
      </c>
      <c r="J9" s="139">
        <v>4.3899999999999997</v>
      </c>
      <c r="K9" s="139">
        <v>107.14999999999999</v>
      </c>
      <c r="L9" s="139">
        <v>0</v>
      </c>
      <c r="M9" s="139">
        <v>0</v>
      </c>
      <c r="N9" s="139">
        <v>863.69800000000009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1117.5980000000002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349.56999999999994</v>
      </c>
      <c r="J10" s="139">
        <v>0.9</v>
      </c>
      <c r="K10" s="139">
        <v>8.0950000000000006</v>
      </c>
      <c r="L10" s="139">
        <v>0</v>
      </c>
      <c r="M10" s="139">
        <v>0</v>
      </c>
      <c r="N10" s="139">
        <v>350.46999999999991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350.6699999999999</v>
      </c>
    </row>
    <row r="11" spans="1:21" s="111" customFormat="1" ht="38.25" customHeight="1" x14ac:dyDescent="0.4">
      <c r="A11" s="308" t="s">
        <v>82</v>
      </c>
      <c r="B11" s="309"/>
      <c r="C11" s="141">
        <v>501.23</v>
      </c>
      <c r="D11" s="141">
        <v>0</v>
      </c>
      <c r="E11" s="141">
        <v>0</v>
      </c>
      <c r="F11" s="141">
        <v>13.5</v>
      </c>
      <c r="G11" s="141">
        <v>76.86</v>
      </c>
      <c r="H11" s="141">
        <v>487.73</v>
      </c>
      <c r="I11" s="141">
        <v>2233.1509999999998</v>
      </c>
      <c r="J11" s="141">
        <v>21.284999999999997</v>
      </c>
      <c r="K11" s="141">
        <v>259.31600000000003</v>
      </c>
      <c r="L11" s="141">
        <v>0</v>
      </c>
      <c r="M11" s="141">
        <v>0</v>
      </c>
      <c r="N11" s="141">
        <v>2254.4359999999997</v>
      </c>
      <c r="O11" s="141">
        <v>119.66600000000001</v>
      </c>
      <c r="P11" s="141">
        <v>0</v>
      </c>
      <c r="Q11" s="141">
        <v>0</v>
      </c>
      <c r="R11" s="141">
        <v>0</v>
      </c>
      <c r="S11" s="141">
        <v>1.01</v>
      </c>
      <c r="T11" s="141">
        <v>119.66600000000001</v>
      </c>
      <c r="U11" s="141">
        <v>2861.8320000000003</v>
      </c>
    </row>
    <row r="12" spans="1:21" ht="38.25" customHeight="1" x14ac:dyDescent="0.35">
      <c r="A12" s="171">
        <v>4</v>
      </c>
      <c r="B12" s="231" t="s">
        <v>83</v>
      </c>
      <c r="C12" s="139">
        <v>355.3099999999996</v>
      </c>
      <c r="D12" s="139">
        <v>0</v>
      </c>
      <c r="E12" s="139">
        <v>0</v>
      </c>
      <c r="F12" s="139">
        <v>135.11000000000001</v>
      </c>
      <c r="G12" s="139">
        <v>135.11000000000001</v>
      </c>
      <c r="H12" s="139">
        <v>220.19999999999959</v>
      </c>
      <c r="I12" s="139">
        <v>995.53499999999985</v>
      </c>
      <c r="J12" s="221">
        <v>133.97999999999999</v>
      </c>
      <c r="K12" s="139">
        <v>218.76999999999998</v>
      </c>
      <c r="L12" s="139">
        <v>0</v>
      </c>
      <c r="M12" s="139">
        <v>0</v>
      </c>
      <c r="N12" s="139">
        <v>1129.5149999999999</v>
      </c>
      <c r="O12" s="139">
        <v>36.850000000000009</v>
      </c>
      <c r="P12" s="139">
        <v>0</v>
      </c>
      <c r="Q12" s="139">
        <v>0</v>
      </c>
      <c r="R12" s="139">
        <v>11.9</v>
      </c>
      <c r="S12" s="139">
        <v>11.9</v>
      </c>
      <c r="T12" s="139">
        <v>24.95000000000001</v>
      </c>
      <c r="U12" s="139">
        <v>1374.6649999999995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v>0</v>
      </c>
      <c r="F13" s="139">
        <v>0</v>
      </c>
      <c r="G13" s="139">
        <v>0</v>
      </c>
      <c r="H13" s="139">
        <v>312.23000000000013</v>
      </c>
      <c r="I13" s="139">
        <v>533.07200000000012</v>
      </c>
      <c r="J13" s="221">
        <v>1.47</v>
      </c>
      <c r="K13" s="139">
        <v>6.71</v>
      </c>
      <c r="L13" s="139">
        <v>0</v>
      </c>
      <c r="M13" s="139">
        <v>0.7</v>
      </c>
      <c r="N13" s="139">
        <v>534.54200000000014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915.16200000000026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v>0</v>
      </c>
      <c r="F14" s="139">
        <v>0</v>
      </c>
      <c r="G14" s="139">
        <v>0</v>
      </c>
      <c r="H14" s="139">
        <v>1216.4399999999994</v>
      </c>
      <c r="I14" s="139">
        <v>881.7080000000002</v>
      </c>
      <c r="J14" s="221">
        <v>4.2300000000000004</v>
      </c>
      <c r="K14" s="139">
        <v>21.150000000000002</v>
      </c>
      <c r="L14" s="139">
        <v>0</v>
      </c>
      <c r="M14" s="139">
        <v>0</v>
      </c>
      <c r="N14" s="139">
        <v>885.93800000000022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2163.7079999999996</v>
      </c>
    </row>
    <row r="15" spans="1:21" s="111" customFormat="1" ht="38.25" customHeight="1" x14ac:dyDescent="0.4">
      <c r="A15" s="308" t="s">
        <v>86</v>
      </c>
      <c r="B15" s="309"/>
      <c r="C15" s="141">
        <v>1883.9799999999991</v>
      </c>
      <c r="D15" s="141">
        <v>0</v>
      </c>
      <c r="E15" s="141">
        <v>0</v>
      </c>
      <c r="F15" s="141">
        <v>135.11000000000001</v>
      </c>
      <c r="G15" s="141">
        <v>135.11000000000001</v>
      </c>
      <c r="H15" s="141">
        <v>1748.869999999999</v>
      </c>
      <c r="I15" s="141">
        <v>2410.3150000000001</v>
      </c>
      <c r="J15" s="141">
        <v>139.67999999999998</v>
      </c>
      <c r="K15" s="141">
        <v>246.63</v>
      </c>
      <c r="L15" s="141">
        <v>0</v>
      </c>
      <c r="M15" s="141">
        <v>0.7</v>
      </c>
      <c r="N15" s="141">
        <v>2549.9950000000003</v>
      </c>
      <c r="O15" s="141">
        <v>166.57</v>
      </c>
      <c r="P15" s="141">
        <v>0</v>
      </c>
      <c r="Q15" s="141">
        <v>0</v>
      </c>
      <c r="R15" s="141">
        <v>11.9</v>
      </c>
      <c r="S15" s="141">
        <v>11.9</v>
      </c>
      <c r="T15" s="141">
        <v>154.66999999999999</v>
      </c>
      <c r="U15" s="141">
        <v>4453.5349999999999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829.9440000000003</v>
      </c>
      <c r="D16" s="139">
        <v>1.32</v>
      </c>
      <c r="E16" s="139">
        <v>4.76</v>
      </c>
      <c r="F16" s="139">
        <v>35.76</v>
      </c>
      <c r="G16" s="139">
        <v>203.1</v>
      </c>
      <c r="H16" s="139">
        <v>795.50400000000036</v>
      </c>
      <c r="I16" s="139">
        <v>567.11599999999999</v>
      </c>
      <c r="J16" s="139">
        <v>0.95</v>
      </c>
      <c r="K16" s="139">
        <v>269.02</v>
      </c>
      <c r="L16" s="139">
        <v>0</v>
      </c>
      <c r="M16" s="139">
        <v>0</v>
      </c>
      <c r="N16" s="139">
        <v>568.06600000000003</v>
      </c>
      <c r="O16" s="139">
        <v>177.41200000000003</v>
      </c>
      <c r="P16" s="139">
        <v>0</v>
      </c>
      <c r="Q16" s="139">
        <v>0</v>
      </c>
      <c r="R16" s="139">
        <v>0</v>
      </c>
      <c r="S16" s="139">
        <v>0</v>
      </c>
      <c r="T16" s="139">
        <v>177.41200000000003</v>
      </c>
      <c r="U16" s="139">
        <v>1540.9820000000004</v>
      </c>
    </row>
    <row r="17" spans="1:21" ht="38.25" customHeight="1" x14ac:dyDescent="0.35">
      <c r="A17" s="171">
        <v>9</v>
      </c>
      <c r="B17" s="231" t="s">
        <v>120</v>
      </c>
      <c r="C17" s="139">
        <v>2.6759999999999478</v>
      </c>
      <c r="D17" s="139">
        <v>0</v>
      </c>
      <c r="E17" s="139">
        <v>0</v>
      </c>
      <c r="F17" s="139">
        <v>0</v>
      </c>
      <c r="G17" s="139">
        <v>3.74</v>
      </c>
      <c r="H17" s="139">
        <v>2.6759999999999478</v>
      </c>
      <c r="I17" s="139">
        <v>570.63</v>
      </c>
      <c r="J17" s="139">
        <v>1.73</v>
      </c>
      <c r="K17" s="139">
        <v>60.61</v>
      </c>
      <c r="L17" s="139">
        <v>0</v>
      </c>
      <c r="M17" s="139">
        <v>0</v>
      </c>
      <c r="N17" s="139">
        <v>572.36</v>
      </c>
      <c r="O17" s="139">
        <v>1.9700000000000002</v>
      </c>
      <c r="P17" s="139">
        <v>0</v>
      </c>
      <c r="Q17" s="139">
        <v>1.3399999999999999</v>
      </c>
      <c r="R17" s="139">
        <v>0</v>
      </c>
      <c r="S17" s="139">
        <v>5.7</v>
      </c>
      <c r="T17" s="139">
        <v>1.9700000000000002</v>
      </c>
      <c r="U17" s="139">
        <v>577.00599999999997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136.7660000000001</v>
      </c>
      <c r="D18" s="139">
        <v>0.11</v>
      </c>
      <c r="E18" s="139">
        <v>1.1000000000000001</v>
      </c>
      <c r="F18" s="139">
        <v>0</v>
      </c>
      <c r="G18" s="139">
        <v>0</v>
      </c>
      <c r="H18" s="139">
        <v>136.87600000000012</v>
      </c>
      <c r="I18" s="139">
        <v>492.03699999999998</v>
      </c>
      <c r="J18" s="139">
        <v>1.04</v>
      </c>
      <c r="K18" s="139">
        <v>6.0100000000000007</v>
      </c>
      <c r="L18" s="139">
        <v>0</v>
      </c>
      <c r="M18" s="139">
        <v>0</v>
      </c>
      <c r="N18" s="139">
        <v>493.077</v>
      </c>
      <c r="O18" s="139">
        <v>39.169999999999995</v>
      </c>
      <c r="P18" s="139">
        <v>0.3</v>
      </c>
      <c r="Q18" s="139">
        <v>0.6</v>
      </c>
      <c r="R18" s="139">
        <v>0</v>
      </c>
      <c r="S18" s="139">
        <v>0</v>
      </c>
      <c r="T18" s="139">
        <v>39.469999999999992</v>
      </c>
      <c r="U18" s="139">
        <v>669.42300000000012</v>
      </c>
    </row>
    <row r="19" spans="1:21" s="111" customFormat="1" ht="38.25" customHeight="1" x14ac:dyDescent="0.4">
      <c r="A19" s="308" t="s">
        <v>89</v>
      </c>
      <c r="B19" s="309"/>
      <c r="C19" s="141">
        <v>969.38600000000031</v>
      </c>
      <c r="D19" s="141">
        <v>1.4300000000000002</v>
      </c>
      <c r="E19" s="141">
        <v>5.8599999999999994</v>
      </c>
      <c r="F19" s="141">
        <v>35.76</v>
      </c>
      <c r="G19" s="141">
        <v>206.84</v>
      </c>
      <c r="H19" s="141">
        <v>935.05600000000038</v>
      </c>
      <c r="I19" s="141">
        <v>1629.7830000000001</v>
      </c>
      <c r="J19" s="141">
        <v>3.7199999999999998</v>
      </c>
      <c r="K19" s="141">
        <v>335.64</v>
      </c>
      <c r="L19" s="141">
        <v>0</v>
      </c>
      <c r="M19" s="141">
        <v>0</v>
      </c>
      <c r="N19" s="141">
        <v>1633.5029999999999</v>
      </c>
      <c r="O19" s="141">
        <v>218.55200000000002</v>
      </c>
      <c r="P19" s="141">
        <v>0.3</v>
      </c>
      <c r="Q19" s="141">
        <v>1.94</v>
      </c>
      <c r="R19" s="141">
        <v>0</v>
      </c>
      <c r="S19" s="141">
        <v>5.7</v>
      </c>
      <c r="T19" s="141">
        <v>218.85200000000003</v>
      </c>
      <c r="U19" s="141">
        <v>2787.4110000000005</v>
      </c>
    </row>
    <row r="20" spans="1:21" ht="38.25" customHeight="1" x14ac:dyDescent="0.35">
      <c r="A20" s="171">
        <v>8</v>
      </c>
      <c r="B20" s="231" t="s">
        <v>91</v>
      </c>
      <c r="C20" s="139">
        <v>607.27999999999986</v>
      </c>
      <c r="D20" s="139">
        <v>0</v>
      </c>
      <c r="E20" s="139">
        <v>1.62</v>
      </c>
      <c r="F20" s="139">
        <v>0</v>
      </c>
      <c r="G20" s="139">
        <v>24.91</v>
      </c>
      <c r="H20" s="139">
        <v>607.27999999999986</v>
      </c>
      <c r="I20" s="139">
        <v>724.46800000000019</v>
      </c>
      <c r="J20" s="139">
        <v>1.6</v>
      </c>
      <c r="K20" s="139">
        <v>327.92</v>
      </c>
      <c r="L20" s="139">
        <v>0</v>
      </c>
      <c r="M20" s="139">
        <v>1.04</v>
      </c>
      <c r="N20" s="139">
        <v>726.06800000000021</v>
      </c>
      <c r="O20" s="139">
        <v>37.580000000000005</v>
      </c>
      <c r="P20" s="139">
        <v>0</v>
      </c>
      <c r="Q20" s="139">
        <v>0</v>
      </c>
      <c r="R20" s="139">
        <v>0</v>
      </c>
      <c r="S20" s="139">
        <v>2.77</v>
      </c>
      <c r="T20" s="139">
        <v>37.580000000000005</v>
      </c>
      <c r="U20" s="139">
        <v>1370.9279999999999</v>
      </c>
    </row>
    <row r="21" spans="1:21" ht="38.25" customHeight="1" x14ac:dyDescent="0.35">
      <c r="A21" s="171">
        <v>9</v>
      </c>
      <c r="B21" s="231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0</v>
      </c>
      <c r="H21" s="139">
        <v>22.51</v>
      </c>
      <c r="I21" s="139">
        <v>419.00700000000006</v>
      </c>
      <c r="J21" s="139">
        <v>1.62</v>
      </c>
      <c r="K21" s="139">
        <v>22.51</v>
      </c>
      <c r="L21" s="139">
        <v>0</v>
      </c>
      <c r="M21" s="139">
        <v>0</v>
      </c>
      <c r="N21" s="139">
        <v>420.62700000000007</v>
      </c>
      <c r="O21" s="139">
        <v>19.489999999999998</v>
      </c>
      <c r="P21" s="139">
        <v>0</v>
      </c>
      <c r="Q21" s="139">
        <v>0.12</v>
      </c>
      <c r="R21" s="139">
        <v>0</v>
      </c>
      <c r="S21" s="139">
        <v>0</v>
      </c>
      <c r="T21" s="139">
        <v>19.489999999999998</v>
      </c>
      <c r="U21" s="139">
        <v>462.62700000000007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v>0</v>
      </c>
      <c r="F22" s="139">
        <v>0</v>
      </c>
      <c r="G22" s="139">
        <v>0</v>
      </c>
      <c r="H22" s="139">
        <v>22.430000000000021</v>
      </c>
      <c r="I22" s="139">
        <v>694.32</v>
      </c>
      <c r="J22" s="139">
        <v>0.83</v>
      </c>
      <c r="K22" s="139">
        <v>6.26</v>
      </c>
      <c r="L22" s="139">
        <v>0</v>
      </c>
      <c r="M22" s="139">
        <v>0.08</v>
      </c>
      <c r="N22" s="139">
        <v>695.15000000000009</v>
      </c>
      <c r="O22" s="139">
        <v>0.60000000000000098</v>
      </c>
      <c r="P22" s="139">
        <v>0</v>
      </c>
      <c r="Q22" s="139">
        <v>0</v>
      </c>
      <c r="R22" s="139">
        <v>0</v>
      </c>
      <c r="S22" s="139">
        <v>0</v>
      </c>
      <c r="T22" s="139">
        <v>0.60000000000000098</v>
      </c>
      <c r="U22" s="139">
        <v>718.18000000000018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430.64</v>
      </c>
      <c r="D23" s="139">
        <v>0</v>
      </c>
      <c r="E23" s="139">
        <v>3.4</v>
      </c>
      <c r="F23" s="139">
        <v>0</v>
      </c>
      <c r="G23" s="139">
        <v>0</v>
      </c>
      <c r="H23" s="139">
        <v>430.64</v>
      </c>
      <c r="I23" s="139">
        <v>122.375</v>
      </c>
      <c r="J23" s="139">
        <v>1.26</v>
      </c>
      <c r="K23" s="139">
        <v>21.75</v>
      </c>
      <c r="L23" s="139">
        <v>0</v>
      </c>
      <c r="M23" s="139">
        <v>0</v>
      </c>
      <c r="N23" s="139">
        <v>123.63500000000001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576.77499999999998</v>
      </c>
    </row>
    <row r="24" spans="1:21" s="111" customFormat="1" ht="38.25" customHeight="1" x14ac:dyDescent="0.4">
      <c r="A24" s="313" t="s">
        <v>94</v>
      </c>
      <c r="B24" s="313"/>
      <c r="C24" s="141">
        <v>1082.8599999999999</v>
      </c>
      <c r="D24" s="141">
        <v>0</v>
      </c>
      <c r="E24" s="141">
        <v>5.0199999999999996</v>
      </c>
      <c r="F24" s="141">
        <v>0</v>
      </c>
      <c r="G24" s="141">
        <v>24.91</v>
      </c>
      <c r="H24" s="141">
        <v>1082.8599999999999</v>
      </c>
      <c r="I24" s="141">
        <v>1960.1700000000005</v>
      </c>
      <c r="J24" s="141">
        <v>5.31</v>
      </c>
      <c r="K24" s="141">
        <v>378.44</v>
      </c>
      <c r="L24" s="141">
        <v>0</v>
      </c>
      <c r="M24" s="141">
        <v>1.1200000000000001</v>
      </c>
      <c r="N24" s="141">
        <v>1965.4800000000002</v>
      </c>
      <c r="O24" s="141">
        <v>80.170000000000016</v>
      </c>
      <c r="P24" s="141">
        <v>0</v>
      </c>
      <c r="Q24" s="141">
        <v>0.12</v>
      </c>
      <c r="R24" s="141">
        <v>0</v>
      </c>
      <c r="S24" s="141">
        <v>2.77</v>
      </c>
      <c r="T24" s="141">
        <v>80.170000000000016</v>
      </c>
      <c r="U24" s="141">
        <v>3128.51</v>
      </c>
    </row>
    <row r="25" spans="1:21" s="145" customFormat="1" ht="38.25" customHeight="1" x14ac:dyDescent="0.4">
      <c r="A25" s="308" t="s">
        <v>95</v>
      </c>
      <c r="B25" s="309"/>
      <c r="C25" s="141">
        <v>4437.4559999999992</v>
      </c>
      <c r="D25" s="141">
        <v>1.4300000000000002</v>
      </c>
      <c r="E25" s="141">
        <v>10.879999999999999</v>
      </c>
      <c r="F25" s="141">
        <v>184.37</v>
      </c>
      <c r="G25" s="141">
        <v>443.72</v>
      </c>
      <c r="H25" s="141">
        <v>4254.5159999999996</v>
      </c>
      <c r="I25" s="141">
        <v>8233.4189999999999</v>
      </c>
      <c r="J25" s="141">
        <v>169.99499999999998</v>
      </c>
      <c r="K25" s="141">
        <v>1220.0259999999998</v>
      </c>
      <c r="L25" s="141">
        <v>0</v>
      </c>
      <c r="M25" s="141">
        <v>1.82</v>
      </c>
      <c r="N25" s="141">
        <v>8403.4140000000007</v>
      </c>
      <c r="O25" s="141">
        <v>584.95800000000008</v>
      </c>
      <c r="P25" s="141">
        <v>0.3</v>
      </c>
      <c r="Q25" s="141">
        <v>2.06</v>
      </c>
      <c r="R25" s="141">
        <v>11.9</v>
      </c>
      <c r="S25" s="141">
        <v>21.380000000000003</v>
      </c>
      <c r="T25" s="141">
        <v>573.35800000000006</v>
      </c>
      <c r="U25" s="141">
        <v>13231.288</v>
      </c>
    </row>
    <row r="26" spans="1:21" ht="38.25" customHeight="1" x14ac:dyDescent="0.35">
      <c r="A26" s="171">
        <v>15</v>
      </c>
      <c r="B26" s="231" t="s">
        <v>96</v>
      </c>
      <c r="C26" s="139">
        <v>1589.86</v>
      </c>
      <c r="D26" s="139">
        <v>2.4</v>
      </c>
      <c r="E26" s="139">
        <v>39.279999999999994</v>
      </c>
      <c r="F26" s="139">
        <v>0</v>
      </c>
      <c r="G26" s="139">
        <v>0</v>
      </c>
      <c r="H26" s="139">
        <v>1592.26</v>
      </c>
      <c r="I26" s="139">
        <v>68.03</v>
      </c>
      <c r="J26" s="139">
        <v>0.32</v>
      </c>
      <c r="K26" s="139">
        <v>1.02</v>
      </c>
      <c r="L26" s="139">
        <v>0</v>
      </c>
      <c r="M26" s="139">
        <v>0</v>
      </c>
      <c r="N26" s="139">
        <v>68.349999999999994</v>
      </c>
      <c r="O26" s="139">
        <v>16.11</v>
      </c>
      <c r="P26" s="139">
        <v>0</v>
      </c>
      <c r="Q26" s="139">
        <v>0</v>
      </c>
      <c r="R26" s="139">
        <v>0</v>
      </c>
      <c r="S26" s="139">
        <v>0</v>
      </c>
      <c r="T26" s="139">
        <v>16.11</v>
      </c>
      <c r="U26" s="139">
        <v>1676.7199999999998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5649.4450000000033</v>
      </c>
      <c r="D27" s="139">
        <v>9.31</v>
      </c>
      <c r="E27" s="139">
        <v>82.05</v>
      </c>
      <c r="F27" s="139">
        <v>0</v>
      </c>
      <c r="G27" s="139">
        <v>0</v>
      </c>
      <c r="H27" s="139">
        <v>5658.7550000000037</v>
      </c>
      <c r="I27" s="139">
        <v>603.12799999999993</v>
      </c>
      <c r="J27" s="139">
        <v>1.64</v>
      </c>
      <c r="K27" s="139">
        <v>10.580000000000002</v>
      </c>
      <c r="L27" s="139">
        <v>0</v>
      </c>
      <c r="M27" s="139">
        <v>0</v>
      </c>
      <c r="N27" s="139">
        <v>604.76799999999992</v>
      </c>
      <c r="O27" s="139">
        <v>33.590000000000003</v>
      </c>
      <c r="P27" s="139">
        <v>0</v>
      </c>
      <c r="Q27" s="139">
        <v>0.1</v>
      </c>
      <c r="R27" s="139">
        <v>0</v>
      </c>
      <c r="S27" s="139">
        <v>0</v>
      </c>
      <c r="T27" s="139">
        <v>33.590000000000003</v>
      </c>
      <c r="U27" s="139">
        <v>6297.1130000000039</v>
      </c>
    </row>
    <row r="28" spans="1:21" s="111" customFormat="1" ht="38.25" customHeight="1" x14ac:dyDescent="0.4">
      <c r="A28" s="313" t="s">
        <v>98</v>
      </c>
      <c r="B28" s="313"/>
      <c r="C28" s="141">
        <v>7239.305000000003</v>
      </c>
      <c r="D28" s="141">
        <v>11.71</v>
      </c>
      <c r="E28" s="141">
        <v>121.32999999999998</v>
      </c>
      <c r="F28" s="141">
        <v>0</v>
      </c>
      <c r="G28" s="141">
        <v>0</v>
      </c>
      <c r="H28" s="141">
        <v>7251.015000000004</v>
      </c>
      <c r="I28" s="141">
        <v>671.1579999999999</v>
      </c>
      <c r="J28" s="141">
        <v>1.96</v>
      </c>
      <c r="K28" s="141">
        <v>11.600000000000001</v>
      </c>
      <c r="L28" s="141">
        <v>0</v>
      </c>
      <c r="M28" s="141">
        <v>0</v>
      </c>
      <c r="N28" s="141">
        <v>673.11799999999994</v>
      </c>
      <c r="O28" s="141">
        <v>49.7</v>
      </c>
      <c r="P28" s="141">
        <v>0</v>
      </c>
      <c r="Q28" s="141">
        <v>0.1</v>
      </c>
      <c r="R28" s="141">
        <v>0</v>
      </c>
      <c r="S28" s="141">
        <v>0</v>
      </c>
      <c r="T28" s="141">
        <v>49.7</v>
      </c>
      <c r="U28" s="141">
        <v>7973.8330000000042</v>
      </c>
    </row>
    <row r="29" spans="1:21" ht="38.25" customHeight="1" x14ac:dyDescent="0.35">
      <c r="A29" s="171">
        <v>17</v>
      </c>
      <c r="B29" s="231" t="s">
        <v>99</v>
      </c>
      <c r="C29" s="139">
        <v>4716.1980000000012</v>
      </c>
      <c r="D29" s="139">
        <v>58.07</v>
      </c>
      <c r="E29" s="139">
        <v>120.8</v>
      </c>
      <c r="F29" s="139">
        <v>0</v>
      </c>
      <c r="G29" s="139">
        <v>0</v>
      </c>
      <c r="H29" s="139">
        <v>4774.2680000000009</v>
      </c>
      <c r="I29" s="139">
        <v>119.91000000000001</v>
      </c>
      <c r="J29" s="139">
        <v>0.93</v>
      </c>
      <c r="K29" s="139">
        <v>1.4500000000000002</v>
      </c>
      <c r="L29" s="139">
        <v>0</v>
      </c>
      <c r="M29" s="139">
        <v>0</v>
      </c>
      <c r="N29" s="139">
        <v>120.84000000000002</v>
      </c>
      <c r="O29" s="139">
        <v>34.52000000000001</v>
      </c>
      <c r="P29" s="139">
        <v>0</v>
      </c>
      <c r="Q29" s="139">
        <v>0</v>
      </c>
      <c r="R29" s="139">
        <v>0</v>
      </c>
      <c r="S29" s="139">
        <v>23.2</v>
      </c>
      <c r="T29" s="139">
        <v>34.52000000000001</v>
      </c>
      <c r="U29" s="139">
        <v>4929.6280000000015</v>
      </c>
    </row>
    <row r="30" spans="1:21" ht="38.25" customHeight="1" x14ac:dyDescent="0.35">
      <c r="A30" s="171">
        <v>18</v>
      </c>
      <c r="B30" s="231" t="s">
        <v>100</v>
      </c>
      <c r="C30" s="139">
        <v>3655.2099999999996</v>
      </c>
      <c r="D30" s="139">
        <v>5.0599999999999996</v>
      </c>
      <c r="E30" s="139">
        <v>47.930000000000014</v>
      </c>
      <c r="F30" s="139">
        <v>0</v>
      </c>
      <c r="G30" s="139">
        <v>0</v>
      </c>
      <c r="H30" s="139">
        <v>3660.2699999999995</v>
      </c>
      <c r="I30" s="139">
        <v>110.587</v>
      </c>
      <c r="J30" s="139">
        <v>0</v>
      </c>
      <c r="K30" s="139">
        <v>0</v>
      </c>
      <c r="L30" s="139">
        <v>0</v>
      </c>
      <c r="M30" s="139">
        <v>0</v>
      </c>
      <c r="N30" s="139">
        <v>110.587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3794.1069999999995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4682.795000000001</v>
      </c>
      <c r="D31" s="139">
        <v>1.0349999999999999</v>
      </c>
      <c r="E31" s="139">
        <v>18.251000000000001</v>
      </c>
      <c r="F31" s="139">
        <v>0</v>
      </c>
      <c r="G31" s="139">
        <v>0</v>
      </c>
      <c r="H31" s="139">
        <v>4683.8300000000008</v>
      </c>
      <c r="I31" s="139">
        <v>107.63000000000002</v>
      </c>
      <c r="J31" s="139">
        <v>0</v>
      </c>
      <c r="K31" s="139">
        <v>0</v>
      </c>
      <c r="L31" s="139">
        <v>0</v>
      </c>
      <c r="M31" s="139">
        <v>0</v>
      </c>
      <c r="N31" s="139">
        <v>107.63000000000002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4806.3100000000013</v>
      </c>
    </row>
    <row r="32" spans="1:21" ht="38.25" customHeight="1" x14ac:dyDescent="0.35">
      <c r="A32" s="171">
        <v>20</v>
      </c>
      <c r="B32" s="231" t="s">
        <v>102</v>
      </c>
      <c r="C32" s="139">
        <v>2349.9457999999995</v>
      </c>
      <c r="D32" s="139">
        <v>0.6</v>
      </c>
      <c r="E32" s="139">
        <v>17.41</v>
      </c>
      <c r="F32" s="139">
        <v>0</v>
      </c>
      <c r="G32" s="139">
        <v>9.7200000000000006</v>
      </c>
      <c r="H32" s="139">
        <v>2350.5457999999994</v>
      </c>
      <c r="I32" s="139">
        <v>87.076000000000008</v>
      </c>
      <c r="J32" s="139">
        <v>0.22</v>
      </c>
      <c r="K32" s="139">
        <v>4.53</v>
      </c>
      <c r="L32" s="139">
        <v>0</v>
      </c>
      <c r="M32" s="139">
        <v>0</v>
      </c>
      <c r="N32" s="139">
        <v>87.296000000000006</v>
      </c>
      <c r="O32" s="139">
        <v>67.551999999999992</v>
      </c>
      <c r="P32" s="139">
        <v>0</v>
      </c>
      <c r="Q32" s="139">
        <v>0</v>
      </c>
      <c r="R32" s="139">
        <v>0</v>
      </c>
      <c r="S32" s="139">
        <v>0</v>
      </c>
      <c r="T32" s="139">
        <v>67.551999999999992</v>
      </c>
      <c r="U32" s="139">
        <v>2505.3937999999994</v>
      </c>
    </row>
    <row r="33" spans="1:21" s="111" customFormat="1" ht="38.25" customHeight="1" x14ac:dyDescent="0.4">
      <c r="A33" s="313" t="s">
        <v>99</v>
      </c>
      <c r="B33" s="313"/>
      <c r="C33" s="141">
        <v>15404.148800000001</v>
      </c>
      <c r="D33" s="141">
        <v>64.765000000000001</v>
      </c>
      <c r="E33" s="141">
        <v>204.39100000000002</v>
      </c>
      <c r="F33" s="141">
        <v>0</v>
      </c>
      <c r="G33" s="141">
        <v>9.7200000000000006</v>
      </c>
      <c r="H33" s="141">
        <v>15468.913800000002</v>
      </c>
      <c r="I33" s="141">
        <v>425.20300000000009</v>
      </c>
      <c r="J33" s="141">
        <v>1.1500000000000001</v>
      </c>
      <c r="K33" s="141">
        <v>5.98</v>
      </c>
      <c r="L33" s="141">
        <v>0</v>
      </c>
      <c r="M33" s="141">
        <v>0</v>
      </c>
      <c r="N33" s="141">
        <v>426.35300000000001</v>
      </c>
      <c r="O33" s="141">
        <v>140.172</v>
      </c>
      <c r="P33" s="141">
        <v>0</v>
      </c>
      <c r="Q33" s="141">
        <v>0</v>
      </c>
      <c r="R33" s="141">
        <v>0</v>
      </c>
      <c r="S33" s="141">
        <v>23.2</v>
      </c>
      <c r="T33" s="141">
        <v>140.172</v>
      </c>
      <c r="U33" s="141">
        <v>16035.438800000002</v>
      </c>
    </row>
    <row r="34" spans="1:21" ht="38.25" customHeight="1" x14ac:dyDescent="0.35">
      <c r="A34" s="171">
        <v>21</v>
      </c>
      <c r="B34" s="231" t="s">
        <v>103</v>
      </c>
      <c r="C34" s="139">
        <v>4564.3</v>
      </c>
      <c r="D34" s="139">
        <v>4.3899999999999997</v>
      </c>
      <c r="E34" s="139">
        <v>129.58999999999997</v>
      </c>
      <c r="F34" s="139">
        <v>0</v>
      </c>
      <c r="G34" s="139">
        <v>0</v>
      </c>
      <c r="H34" s="139">
        <v>4568.6900000000005</v>
      </c>
      <c r="I34" s="139">
        <v>84.949999999999989</v>
      </c>
      <c r="J34" s="139">
        <v>0.08</v>
      </c>
      <c r="K34" s="139">
        <v>85.029999999999987</v>
      </c>
      <c r="L34" s="139">
        <v>0</v>
      </c>
      <c r="M34" s="139">
        <v>0</v>
      </c>
      <c r="N34" s="139">
        <v>85.029999999999987</v>
      </c>
      <c r="O34" s="139">
        <v>72.7</v>
      </c>
      <c r="P34" s="139">
        <v>0</v>
      </c>
      <c r="Q34" s="139">
        <v>72.7</v>
      </c>
      <c r="R34" s="139">
        <v>0</v>
      </c>
      <c r="S34" s="139">
        <v>0</v>
      </c>
      <c r="T34" s="139">
        <v>72.7</v>
      </c>
      <c r="U34" s="139">
        <v>4726.42</v>
      </c>
    </row>
    <row r="35" spans="1:21" ht="38.25" customHeight="1" x14ac:dyDescent="0.35">
      <c r="A35" s="171">
        <v>22</v>
      </c>
      <c r="B35" s="231" t="s">
        <v>104</v>
      </c>
      <c r="C35" s="139">
        <v>6426.0799999999972</v>
      </c>
      <c r="D35" s="139">
        <v>64.3</v>
      </c>
      <c r="E35" s="139">
        <v>280.8</v>
      </c>
      <c r="F35" s="139">
        <v>0</v>
      </c>
      <c r="G35" s="139">
        <v>0</v>
      </c>
      <c r="H35" s="139">
        <v>6490.3799999999974</v>
      </c>
      <c r="I35" s="139">
        <v>34.130000000000003</v>
      </c>
      <c r="J35" s="139">
        <v>0</v>
      </c>
      <c r="K35" s="139">
        <v>27.21</v>
      </c>
      <c r="L35" s="139">
        <v>0</v>
      </c>
      <c r="M35" s="139">
        <v>0</v>
      </c>
      <c r="N35" s="139">
        <v>34.130000000000003</v>
      </c>
      <c r="O35" s="139">
        <v>90.800000000000011</v>
      </c>
      <c r="P35" s="139">
        <v>0</v>
      </c>
      <c r="Q35" s="139">
        <v>32.380000000000003</v>
      </c>
      <c r="R35" s="139">
        <v>0</v>
      </c>
      <c r="S35" s="139">
        <v>0</v>
      </c>
      <c r="T35" s="139">
        <v>90.800000000000011</v>
      </c>
      <c r="U35" s="139">
        <v>6615.3099999999977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3567.25</v>
      </c>
      <c r="D36" s="139">
        <v>13.63</v>
      </c>
      <c r="E36" s="139">
        <v>129.78</v>
      </c>
      <c r="F36" s="139">
        <v>0</v>
      </c>
      <c r="G36" s="139">
        <v>0</v>
      </c>
      <c r="H36" s="139">
        <v>3580.88</v>
      </c>
      <c r="I36" s="139">
        <v>30.250000000000039</v>
      </c>
      <c r="J36" s="139">
        <v>0</v>
      </c>
      <c r="K36" s="139">
        <v>5.2</v>
      </c>
      <c r="L36" s="139">
        <v>0</v>
      </c>
      <c r="M36" s="139">
        <v>4.63</v>
      </c>
      <c r="N36" s="139">
        <v>30.250000000000039</v>
      </c>
      <c r="O36" s="139">
        <v>36.379999999999995</v>
      </c>
      <c r="P36" s="139">
        <v>0</v>
      </c>
      <c r="Q36" s="139">
        <v>19.29</v>
      </c>
      <c r="R36" s="139">
        <v>0</v>
      </c>
      <c r="S36" s="139">
        <v>0</v>
      </c>
      <c r="T36" s="139">
        <v>36.379999999999995</v>
      </c>
      <c r="U36" s="139">
        <v>3647.51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4911.7299999999977</v>
      </c>
      <c r="D37" s="139">
        <v>52.470000000000006</v>
      </c>
      <c r="E37" s="139">
        <v>176.08</v>
      </c>
      <c r="F37" s="139">
        <v>0</v>
      </c>
      <c r="G37" s="139">
        <v>0</v>
      </c>
      <c r="H37" s="139">
        <v>4964.199999999998</v>
      </c>
      <c r="I37" s="139">
        <v>26.700000000000003</v>
      </c>
      <c r="J37" s="139">
        <v>0</v>
      </c>
      <c r="K37" s="139">
        <v>14.27</v>
      </c>
      <c r="L37" s="139">
        <v>0</v>
      </c>
      <c r="M37" s="139">
        <v>1.06</v>
      </c>
      <c r="N37" s="139">
        <v>26.700000000000003</v>
      </c>
      <c r="O37" s="139">
        <v>3.0599999999999996</v>
      </c>
      <c r="P37" s="139">
        <v>0</v>
      </c>
      <c r="Q37" s="139">
        <v>0</v>
      </c>
      <c r="R37" s="139">
        <v>0</v>
      </c>
      <c r="S37" s="139">
        <v>3.46</v>
      </c>
      <c r="T37" s="139">
        <v>3.0599999999999996</v>
      </c>
      <c r="U37" s="139">
        <v>4993.9599999999982</v>
      </c>
    </row>
    <row r="38" spans="1:21" s="111" customFormat="1" ht="38.25" customHeight="1" x14ac:dyDescent="0.4">
      <c r="A38" s="313" t="s">
        <v>107</v>
      </c>
      <c r="B38" s="313"/>
      <c r="C38" s="141">
        <v>19469.359999999993</v>
      </c>
      <c r="D38" s="141">
        <v>134.79</v>
      </c>
      <c r="E38" s="141">
        <v>716.25</v>
      </c>
      <c r="F38" s="141">
        <v>0</v>
      </c>
      <c r="G38" s="141">
        <v>0</v>
      </c>
      <c r="H38" s="141">
        <v>19604.149999999994</v>
      </c>
      <c r="I38" s="141">
        <v>176.03000000000003</v>
      </c>
      <c r="J38" s="141">
        <v>0.08</v>
      </c>
      <c r="K38" s="141">
        <v>131.70999999999998</v>
      </c>
      <c r="L38" s="141">
        <v>0</v>
      </c>
      <c r="M38" s="141">
        <v>5.6899999999999995</v>
      </c>
      <c r="N38" s="141">
        <v>176.11</v>
      </c>
      <c r="O38" s="141">
        <v>202.94</v>
      </c>
      <c r="P38" s="141">
        <v>0</v>
      </c>
      <c r="Q38" s="141">
        <v>124.37</v>
      </c>
      <c r="R38" s="141">
        <v>0</v>
      </c>
      <c r="S38" s="141">
        <v>3.46</v>
      </c>
      <c r="T38" s="141">
        <v>202.94</v>
      </c>
      <c r="U38" s="141">
        <v>19983.199999999997</v>
      </c>
    </row>
    <row r="39" spans="1:21" s="145" customFormat="1" ht="38.25" customHeight="1" x14ac:dyDescent="0.4">
      <c r="A39" s="313" t="s">
        <v>108</v>
      </c>
      <c r="B39" s="313"/>
      <c r="C39" s="141">
        <v>42112.813799999996</v>
      </c>
      <c r="D39" s="141">
        <v>211.26500000000001</v>
      </c>
      <c r="E39" s="141">
        <v>1041.971</v>
      </c>
      <c r="F39" s="141">
        <v>0</v>
      </c>
      <c r="G39" s="141">
        <v>9.7200000000000006</v>
      </c>
      <c r="H39" s="141">
        <v>42324.078800000003</v>
      </c>
      <c r="I39" s="141">
        <v>1272.3910000000001</v>
      </c>
      <c r="J39" s="141">
        <v>3.1900000000000004</v>
      </c>
      <c r="K39" s="141">
        <v>149.28999999999996</v>
      </c>
      <c r="L39" s="141">
        <v>0</v>
      </c>
      <c r="M39" s="141">
        <v>5.6899999999999995</v>
      </c>
      <c r="N39" s="141">
        <v>1275.5809999999999</v>
      </c>
      <c r="O39" s="141">
        <v>392.81199999999995</v>
      </c>
      <c r="P39" s="141">
        <v>0</v>
      </c>
      <c r="Q39" s="141">
        <v>124.47</v>
      </c>
      <c r="R39" s="141">
        <v>0</v>
      </c>
      <c r="S39" s="141">
        <v>26.66</v>
      </c>
      <c r="T39" s="141">
        <v>392.81199999999995</v>
      </c>
      <c r="U39" s="141">
        <v>43992.471800000007</v>
      </c>
    </row>
    <row r="40" spans="1:21" ht="38.25" customHeight="1" x14ac:dyDescent="0.35">
      <c r="A40" s="171">
        <v>25</v>
      </c>
      <c r="B40" s="231" t="s">
        <v>109</v>
      </c>
      <c r="C40" s="139">
        <v>11740.963999999998</v>
      </c>
      <c r="D40" s="139">
        <v>9.98</v>
      </c>
      <c r="E40" s="139">
        <v>360.50000000000006</v>
      </c>
      <c r="F40" s="139">
        <v>0</v>
      </c>
      <c r="G40" s="139">
        <v>0</v>
      </c>
      <c r="H40" s="139">
        <v>11750.943999999998</v>
      </c>
      <c r="I40" s="139">
        <v>198.73</v>
      </c>
      <c r="J40" s="139">
        <v>0</v>
      </c>
      <c r="K40" s="139">
        <v>0</v>
      </c>
      <c r="L40" s="139">
        <v>0</v>
      </c>
      <c r="M40" s="139">
        <v>0</v>
      </c>
      <c r="N40" s="139">
        <v>198.73</v>
      </c>
      <c r="O40" s="139">
        <v>53.46</v>
      </c>
      <c r="P40" s="139">
        <v>8.91</v>
      </c>
      <c r="Q40" s="139">
        <v>62.370000000000005</v>
      </c>
      <c r="R40" s="139">
        <v>0</v>
      </c>
      <c r="S40" s="139">
        <v>0</v>
      </c>
      <c r="T40" s="139">
        <v>62.370000000000005</v>
      </c>
      <c r="U40" s="139">
        <v>12012.043999999998</v>
      </c>
    </row>
    <row r="41" spans="1:21" ht="38.25" customHeight="1" x14ac:dyDescent="0.35">
      <c r="A41" s="171">
        <v>26</v>
      </c>
      <c r="B41" s="231" t="s">
        <v>110</v>
      </c>
      <c r="C41" s="139">
        <v>8102.6689999999935</v>
      </c>
      <c r="D41" s="139">
        <v>62.6</v>
      </c>
      <c r="E41" s="139">
        <v>667.23200000000008</v>
      </c>
      <c r="F41" s="139">
        <v>0</v>
      </c>
      <c r="G41" s="139">
        <v>0</v>
      </c>
      <c r="H41" s="139">
        <v>8165.2689999999939</v>
      </c>
      <c r="I41" s="139">
        <v>8.67</v>
      </c>
      <c r="J41" s="139">
        <v>0</v>
      </c>
      <c r="K41" s="139">
        <v>0</v>
      </c>
      <c r="L41" s="139">
        <v>0</v>
      </c>
      <c r="M41" s="139">
        <v>0</v>
      </c>
      <c r="N41" s="139">
        <v>8.67</v>
      </c>
      <c r="O41" s="139">
        <v>47.1</v>
      </c>
      <c r="P41" s="139">
        <v>15.7</v>
      </c>
      <c r="Q41" s="139">
        <v>62.8</v>
      </c>
      <c r="R41" s="139">
        <v>0</v>
      </c>
      <c r="S41" s="139">
        <v>0</v>
      </c>
      <c r="T41" s="139">
        <v>62.8</v>
      </c>
      <c r="U41" s="139">
        <v>8236.7389999999941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13865.358999999995</v>
      </c>
      <c r="D42" s="139">
        <v>5.91</v>
      </c>
      <c r="E42" s="139">
        <v>65.830000000000013</v>
      </c>
      <c r="F42" s="139">
        <v>0</v>
      </c>
      <c r="G42" s="139">
        <v>0</v>
      </c>
      <c r="H42" s="139">
        <v>13871.268999999995</v>
      </c>
      <c r="I42" s="139">
        <v>15.62</v>
      </c>
      <c r="J42" s="139">
        <v>0</v>
      </c>
      <c r="K42" s="139">
        <v>0</v>
      </c>
      <c r="L42" s="139">
        <v>0</v>
      </c>
      <c r="M42" s="139">
        <v>0</v>
      </c>
      <c r="N42" s="139">
        <v>15.62</v>
      </c>
      <c r="O42" s="139">
        <v>73.239999999999995</v>
      </c>
      <c r="P42" s="139">
        <v>22.01</v>
      </c>
      <c r="Q42" s="139">
        <v>56.230000000000004</v>
      </c>
      <c r="R42" s="139">
        <v>0</v>
      </c>
      <c r="S42" s="139">
        <v>0</v>
      </c>
      <c r="T42" s="139">
        <v>95.25</v>
      </c>
      <c r="U42" s="139">
        <v>13982.138999999996</v>
      </c>
    </row>
    <row r="43" spans="1:21" ht="38.25" customHeight="1" x14ac:dyDescent="0.35">
      <c r="A43" s="171">
        <v>28</v>
      </c>
      <c r="B43" s="231" t="s">
        <v>112</v>
      </c>
      <c r="C43" s="139">
        <v>4028.5600000000009</v>
      </c>
      <c r="D43" s="139">
        <v>42.4</v>
      </c>
      <c r="E43" s="139">
        <v>103.48</v>
      </c>
      <c r="F43" s="139">
        <v>0</v>
      </c>
      <c r="G43" s="139">
        <v>0</v>
      </c>
      <c r="H43" s="139">
        <v>4070.9600000000009</v>
      </c>
      <c r="I43" s="139">
        <v>3.5</v>
      </c>
      <c r="J43" s="139">
        <v>0</v>
      </c>
      <c r="K43" s="139">
        <v>0</v>
      </c>
      <c r="L43" s="139">
        <v>0</v>
      </c>
      <c r="M43" s="139">
        <v>0</v>
      </c>
      <c r="N43" s="139">
        <v>3.5</v>
      </c>
      <c r="O43" s="139">
        <v>29.8</v>
      </c>
      <c r="P43" s="139">
        <v>0</v>
      </c>
      <c r="Q43" s="139">
        <v>29.8</v>
      </c>
      <c r="R43" s="139">
        <v>0</v>
      </c>
      <c r="S43" s="139">
        <v>0</v>
      </c>
      <c r="T43" s="139">
        <v>29.8</v>
      </c>
      <c r="U43" s="139">
        <v>4104.2600000000011</v>
      </c>
    </row>
    <row r="44" spans="1:21" s="111" customFormat="1" ht="38.25" customHeight="1" x14ac:dyDescent="0.4">
      <c r="A44" s="313" t="s">
        <v>109</v>
      </c>
      <c r="B44" s="313"/>
      <c r="C44" s="141">
        <v>37737.551999999981</v>
      </c>
      <c r="D44" s="141">
        <v>120.88999999999999</v>
      </c>
      <c r="E44" s="141">
        <v>1197.0420000000001</v>
      </c>
      <c r="F44" s="141">
        <v>0</v>
      </c>
      <c r="G44" s="141">
        <v>0</v>
      </c>
      <c r="H44" s="141">
        <v>37858.441999999988</v>
      </c>
      <c r="I44" s="141">
        <v>226.51999999999998</v>
      </c>
      <c r="J44" s="141">
        <v>0</v>
      </c>
      <c r="K44" s="141">
        <v>0</v>
      </c>
      <c r="L44" s="141">
        <v>0</v>
      </c>
      <c r="M44" s="141">
        <v>0</v>
      </c>
      <c r="N44" s="141">
        <v>226.51999999999998</v>
      </c>
      <c r="O44" s="141">
        <v>203.60000000000002</v>
      </c>
      <c r="P44" s="141">
        <v>46.620000000000005</v>
      </c>
      <c r="Q44" s="141">
        <v>211.20000000000002</v>
      </c>
      <c r="R44" s="141">
        <v>0</v>
      </c>
      <c r="S44" s="141">
        <v>0</v>
      </c>
      <c r="T44" s="141">
        <v>250.22000000000003</v>
      </c>
      <c r="U44" s="141">
        <v>38335.181999999993</v>
      </c>
    </row>
    <row r="45" spans="1:21" ht="38.25" customHeight="1" x14ac:dyDescent="0.35">
      <c r="A45" s="171">
        <v>29</v>
      </c>
      <c r="B45" s="231" t="s">
        <v>113</v>
      </c>
      <c r="C45" s="139">
        <v>8152.1521000000002</v>
      </c>
      <c r="D45" s="139">
        <v>8.09</v>
      </c>
      <c r="E45" s="139">
        <v>108.26</v>
      </c>
      <c r="F45" s="139">
        <v>0</v>
      </c>
      <c r="G45" s="139">
        <v>0</v>
      </c>
      <c r="H45" s="139">
        <v>8160.2421000000004</v>
      </c>
      <c r="I45" s="139">
        <v>157.03</v>
      </c>
      <c r="J45" s="139">
        <v>51.160000000000004</v>
      </c>
      <c r="K45" s="139">
        <v>166.26999999999998</v>
      </c>
      <c r="L45" s="139">
        <v>0</v>
      </c>
      <c r="M45" s="139">
        <v>0</v>
      </c>
      <c r="N45" s="139">
        <v>208.19</v>
      </c>
      <c r="O45" s="139">
        <v>55.239999999999995</v>
      </c>
      <c r="P45" s="139">
        <v>28.98</v>
      </c>
      <c r="Q45" s="139">
        <v>69.47</v>
      </c>
      <c r="R45" s="139">
        <v>0</v>
      </c>
      <c r="S45" s="139">
        <v>0</v>
      </c>
      <c r="T45" s="139">
        <v>84.22</v>
      </c>
      <c r="U45" s="139">
        <v>8452.6520999999993</v>
      </c>
    </row>
    <row r="46" spans="1:21" ht="38.25" customHeight="1" x14ac:dyDescent="0.35">
      <c r="A46" s="171">
        <v>30</v>
      </c>
      <c r="B46" s="231" t="s">
        <v>114</v>
      </c>
      <c r="C46" s="139">
        <v>7787.135000000002</v>
      </c>
      <c r="D46" s="139">
        <v>0.3</v>
      </c>
      <c r="E46" s="139">
        <v>48.94</v>
      </c>
      <c r="F46" s="139">
        <v>0</v>
      </c>
      <c r="G46" s="139">
        <v>0</v>
      </c>
      <c r="H46" s="139">
        <v>7787.4350000000022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37.18</v>
      </c>
      <c r="P46" s="139">
        <v>9.85</v>
      </c>
      <c r="Q46" s="139">
        <v>47.03</v>
      </c>
      <c r="R46" s="139">
        <v>0</v>
      </c>
      <c r="S46" s="139">
        <v>0</v>
      </c>
      <c r="T46" s="139">
        <v>47.03</v>
      </c>
      <c r="U46" s="139">
        <v>7834.465000000002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8926.49</v>
      </c>
      <c r="D47" s="139">
        <v>2.72</v>
      </c>
      <c r="E47" s="139">
        <v>144.57000000000002</v>
      </c>
      <c r="F47" s="139">
        <v>0</v>
      </c>
      <c r="G47" s="139">
        <v>0</v>
      </c>
      <c r="H47" s="139">
        <v>8929.2099999999991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9.94</v>
      </c>
      <c r="P47" s="139">
        <v>54.5</v>
      </c>
      <c r="Q47" s="139">
        <v>64.41</v>
      </c>
      <c r="R47" s="139">
        <v>0</v>
      </c>
      <c r="S47" s="139">
        <v>0</v>
      </c>
      <c r="T47" s="139">
        <v>64.44</v>
      </c>
      <c r="U47" s="139">
        <v>8996.7799999999988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8576.9390000000003</v>
      </c>
      <c r="D48" s="139">
        <v>7.38</v>
      </c>
      <c r="E48" s="139">
        <v>387.53</v>
      </c>
      <c r="F48" s="139">
        <v>0</v>
      </c>
      <c r="G48" s="139">
        <v>0</v>
      </c>
      <c r="H48" s="139">
        <v>8584.3189999999995</v>
      </c>
      <c r="I48" s="139">
        <v>5.0249999999999995</v>
      </c>
      <c r="J48" s="139">
        <v>0</v>
      </c>
      <c r="K48" s="139">
        <v>0</v>
      </c>
      <c r="L48" s="139">
        <v>0</v>
      </c>
      <c r="M48" s="139">
        <v>0</v>
      </c>
      <c r="N48" s="139">
        <v>5.0249999999999995</v>
      </c>
      <c r="O48" s="139">
        <v>4.21</v>
      </c>
      <c r="P48" s="139">
        <v>0</v>
      </c>
      <c r="Q48" s="139">
        <v>4.21</v>
      </c>
      <c r="R48" s="139">
        <v>0</v>
      </c>
      <c r="S48" s="139">
        <v>0</v>
      </c>
      <c r="T48" s="139">
        <v>4.21</v>
      </c>
      <c r="U48" s="139">
        <v>8593.5539999999983</v>
      </c>
    </row>
    <row r="49" spans="1:21" s="111" customFormat="1" ht="38.25" customHeight="1" x14ac:dyDescent="0.4">
      <c r="A49" s="313" t="s">
        <v>117</v>
      </c>
      <c r="B49" s="313"/>
      <c r="C49" s="141">
        <v>33442.716099999998</v>
      </c>
      <c r="D49" s="141">
        <v>18.490000000000002</v>
      </c>
      <c r="E49" s="141">
        <v>689.3</v>
      </c>
      <c r="F49" s="141">
        <v>0</v>
      </c>
      <c r="G49" s="141">
        <v>0</v>
      </c>
      <c r="H49" s="141">
        <v>33461.206099999996</v>
      </c>
      <c r="I49" s="141">
        <v>165.185</v>
      </c>
      <c r="J49" s="141">
        <v>51.160000000000004</v>
      </c>
      <c r="K49" s="141">
        <v>166.26999999999998</v>
      </c>
      <c r="L49" s="141">
        <v>0</v>
      </c>
      <c r="M49" s="141">
        <v>0</v>
      </c>
      <c r="N49" s="141">
        <v>216.345</v>
      </c>
      <c r="O49" s="141">
        <v>106.56999999999998</v>
      </c>
      <c r="P49" s="141">
        <v>93.33</v>
      </c>
      <c r="Q49" s="141">
        <v>185.12</v>
      </c>
      <c r="R49" s="141">
        <v>0</v>
      </c>
      <c r="S49" s="141">
        <v>0</v>
      </c>
      <c r="T49" s="141">
        <v>199.9</v>
      </c>
      <c r="U49" s="141">
        <v>33877.451099999998</v>
      </c>
    </row>
    <row r="50" spans="1:21" s="145" customFormat="1" ht="38.25" customHeight="1" x14ac:dyDescent="0.4">
      <c r="A50" s="313" t="s">
        <v>118</v>
      </c>
      <c r="B50" s="313"/>
      <c r="C50" s="141">
        <v>71180.268099999987</v>
      </c>
      <c r="D50" s="141">
        <v>139.38</v>
      </c>
      <c r="E50" s="141">
        <v>1886.3420000000001</v>
      </c>
      <c r="F50" s="141">
        <v>0</v>
      </c>
      <c r="G50" s="141">
        <v>0</v>
      </c>
      <c r="H50" s="141">
        <v>71319.648099999991</v>
      </c>
      <c r="I50" s="141">
        <v>391.70499999999998</v>
      </c>
      <c r="J50" s="141">
        <v>51.160000000000004</v>
      </c>
      <c r="K50" s="141">
        <v>166.26999999999998</v>
      </c>
      <c r="L50" s="141">
        <v>0</v>
      </c>
      <c r="M50" s="141">
        <v>0</v>
      </c>
      <c r="N50" s="141">
        <v>442.86500000000001</v>
      </c>
      <c r="O50" s="141">
        <v>310.17</v>
      </c>
      <c r="P50" s="141">
        <v>139.94999999999999</v>
      </c>
      <c r="Q50" s="141">
        <v>396.32000000000005</v>
      </c>
      <c r="R50" s="141">
        <v>0</v>
      </c>
      <c r="S50" s="141">
        <v>0</v>
      </c>
      <c r="T50" s="141">
        <v>450.12</v>
      </c>
      <c r="U50" s="141">
        <v>72212.633099999992</v>
      </c>
    </row>
    <row r="51" spans="1:21" s="146" customFormat="1" ht="38.25" customHeight="1" x14ac:dyDescent="0.4">
      <c r="A51" s="313" t="s">
        <v>119</v>
      </c>
      <c r="B51" s="313"/>
      <c r="C51" s="141">
        <v>117730.5379</v>
      </c>
      <c r="D51" s="141">
        <v>352.07499999999999</v>
      </c>
      <c r="E51" s="141">
        <v>2939.1930000000002</v>
      </c>
      <c r="F51" s="141">
        <v>184.37</v>
      </c>
      <c r="G51" s="141">
        <v>453.44000000000005</v>
      </c>
      <c r="H51" s="141">
        <v>117898.2429</v>
      </c>
      <c r="I51" s="141">
        <v>9897.5149999999994</v>
      </c>
      <c r="J51" s="141">
        <v>224.34499999999997</v>
      </c>
      <c r="K51" s="141">
        <v>1535.5859999999998</v>
      </c>
      <c r="L51" s="141">
        <v>0</v>
      </c>
      <c r="M51" s="141">
        <v>7.51</v>
      </c>
      <c r="N51" s="141">
        <v>10121.86</v>
      </c>
      <c r="O51" s="141">
        <v>1287.94</v>
      </c>
      <c r="P51" s="141">
        <v>140.25</v>
      </c>
      <c r="Q51" s="141">
        <v>522.85</v>
      </c>
      <c r="R51" s="141">
        <v>11.9</v>
      </c>
      <c r="S51" s="141">
        <v>48.040000000000006</v>
      </c>
      <c r="T51" s="141">
        <v>1416.29</v>
      </c>
      <c r="U51" s="141">
        <v>129436.39290000001</v>
      </c>
    </row>
    <row r="52" spans="1:21" s="111" customFormat="1" ht="24" customHeight="1" x14ac:dyDescent="0.4">
      <c r="A52" s="115"/>
      <c r="B52" s="115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</row>
    <row r="53" spans="1:21" s="115" customFormat="1" ht="24.75" hidden="1" customHeight="1" x14ac:dyDescent="0.4">
      <c r="B53" s="249"/>
      <c r="C53" s="278" t="s">
        <v>54</v>
      </c>
      <c r="D53" s="278"/>
      <c r="E53" s="278"/>
      <c r="F53" s="278"/>
      <c r="G53" s="278"/>
      <c r="H53" s="118"/>
      <c r="I53" s="249"/>
      <c r="J53" s="249">
        <f>D51+J51+P51-F51-L51-R51</f>
        <v>520.4</v>
      </c>
      <c r="K53" s="249"/>
      <c r="L53" s="249"/>
      <c r="M53" s="249"/>
      <c r="N53" s="249"/>
      <c r="R53" s="249"/>
      <c r="U53" s="249"/>
    </row>
    <row r="54" spans="1:21" s="115" customFormat="1" ht="30" hidden="1" customHeight="1" x14ac:dyDescent="0.35">
      <c r="B54" s="249"/>
      <c r="C54" s="278" t="s">
        <v>55</v>
      </c>
      <c r="D54" s="278"/>
      <c r="E54" s="278"/>
      <c r="F54" s="278"/>
      <c r="G54" s="278"/>
      <c r="H54" s="119"/>
      <c r="I54" s="249"/>
      <c r="J54" s="249">
        <f>E51+K51+Q51-G51-M51-S51</f>
        <v>4488.6390000000001</v>
      </c>
      <c r="K54" s="249"/>
      <c r="L54" s="249"/>
      <c r="M54" s="249"/>
      <c r="N54" s="249"/>
      <c r="R54" s="249"/>
      <c r="T54" s="249"/>
    </row>
    <row r="55" spans="1:21" ht="33" hidden="1" customHeight="1" x14ac:dyDescent="0.5">
      <c r="C55" s="278" t="s">
        <v>56</v>
      </c>
      <c r="D55" s="278"/>
      <c r="E55" s="278"/>
      <c r="F55" s="278"/>
      <c r="G55" s="278"/>
      <c r="H55" s="119"/>
      <c r="I55" s="121"/>
      <c r="J55" s="249">
        <f>H51+N51+T51</f>
        <v>129436.39289999999</v>
      </c>
      <c r="K55" s="119"/>
      <c r="L55" s="119"/>
      <c r="M55" s="142" t="e">
        <f>#REF!+'dec-2021'!J54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49"/>
      <c r="E56" s="249"/>
      <c r="F56" s="249"/>
      <c r="G56" s="249"/>
      <c r="H56" s="119"/>
      <c r="I56" s="121"/>
      <c r="J56" s="249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49"/>
      <c r="E57" s="249"/>
      <c r="F57" s="249"/>
      <c r="G57" s="249"/>
      <c r="H57" s="119"/>
      <c r="I57" s="121"/>
      <c r="J57" s="249"/>
      <c r="K57" s="119"/>
      <c r="L57" s="119"/>
      <c r="M57" s="142" t="e">
        <f>#REF!+'dec-2021'!J54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87" t="s">
        <v>57</v>
      </c>
      <c r="C58" s="287"/>
      <c r="D58" s="287"/>
      <c r="E58" s="287"/>
      <c r="F58" s="287"/>
      <c r="G58" s="153"/>
      <c r="H58" s="154"/>
      <c r="I58" s="155"/>
      <c r="J58" s="288"/>
      <c r="K58" s="286"/>
      <c r="L58" s="286"/>
      <c r="M58" s="169" t="e">
        <f>#REF!+'dec-2021'!J54</f>
        <v>#REF!</v>
      </c>
      <c r="N58" s="154"/>
      <c r="O58" s="154"/>
      <c r="P58" s="252"/>
      <c r="Q58" s="287" t="s">
        <v>58</v>
      </c>
      <c r="R58" s="287"/>
      <c r="S58" s="287"/>
      <c r="T58" s="287"/>
      <c r="U58" s="287"/>
    </row>
    <row r="59" spans="1:21" s="152" customFormat="1" ht="37.5" hidden="1" customHeight="1" x14ac:dyDescent="0.45">
      <c r="B59" s="287" t="s">
        <v>59</v>
      </c>
      <c r="C59" s="287"/>
      <c r="D59" s="287"/>
      <c r="E59" s="287"/>
      <c r="F59" s="287"/>
      <c r="G59" s="154"/>
      <c r="H59" s="153"/>
      <c r="I59" s="156"/>
      <c r="J59" s="157"/>
      <c r="K59" s="251"/>
      <c r="L59" s="157"/>
      <c r="M59" s="154"/>
      <c r="N59" s="153"/>
      <c r="O59" s="154"/>
      <c r="P59" s="252"/>
      <c r="Q59" s="287" t="s">
        <v>59</v>
      </c>
      <c r="R59" s="287"/>
      <c r="S59" s="287"/>
      <c r="T59" s="287"/>
      <c r="U59" s="287"/>
    </row>
    <row r="60" spans="1:21" s="152" customFormat="1" ht="37.5" hidden="1" customHeight="1" x14ac:dyDescent="0.45">
      <c r="I60" s="158"/>
      <c r="J60" s="286" t="s">
        <v>61</v>
      </c>
      <c r="K60" s="286"/>
      <c r="L60" s="286"/>
      <c r="M60" s="159" t="e">
        <f>#REF!+'dec-2021'!J54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#REF!+'dec-2021'!J54</f>
        <v>#REF!</v>
      </c>
      <c r="I61" s="158"/>
      <c r="J61" s="286" t="s">
        <v>62</v>
      </c>
      <c r="K61" s="286"/>
      <c r="L61" s="286"/>
      <c r="M61" s="159" t="e">
        <f>#REF!+'dec-2021'!J54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3:10" hidden="1" x14ac:dyDescent="0.35">
      <c r="H65" s="125">
        <f>'[2]nov 17'!J53+'[2]dec 17'!J51</f>
        <v>98988.2883</v>
      </c>
      <c r="I65" s="131"/>
      <c r="J65" s="130"/>
    </row>
    <row r="66" spans="3:10" x14ac:dyDescent="0.35">
      <c r="C66" s="119"/>
      <c r="H66" s="130"/>
      <c r="I66" s="131"/>
      <c r="J66" s="130"/>
    </row>
    <row r="67" spans="3:10" ht="18" customHeight="1" x14ac:dyDescent="0.35">
      <c r="H67" s="130"/>
      <c r="I67" s="131"/>
      <c r="J67" s="130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7" right="0.7" top="0.75" bottom="0.75" header="0.3" footer="0.3"/>
  <pageSetup paperSize="9" scale="1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7" activePane="bottomLeft" state="frozen"/>
      <selection pane="bottomLeft" activeCell="H11" sqref="H1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132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02" t="s">
        <v>122</v>
      </c>
      <c r="B4" s="305" t="s">
        <v>121</v>
      </c>
      <c r="C4" s="281" t="s">
        <v>131</v>
      </c>
      <c r="D4" s="282"/>
      <c r="E4" s="282"/>
      <c r="F4" s="282"/>
      <c r="G4" s="282"/>
      <c r="H4" s="282"/>
      <c r="I4" s="281" t="s">
        <v>130</v>
      </c>
      <c r="J4" s="282"/>
      <c r="K4" s="282"/>
      <c r="L4" s="282"/>
      <c r="M4" s="282"/>
      <c r="N4" s="282"/>
      <c r="O4" s="281" t="s">
        <v>129</v>
      </c>
      <c r="P4" s="282"/>
      <c r="Q4" s="282"/>
      <c r="R4" s="282"/>
      <c r="S4" s="282"/>
      <c r="T4" s="282"/>
      <c r="U4" s="176"/>
    </row>
    <row r="5" spans="1:21" s="108" customFormat="1" ht="54.75" customHeight="1" x14ac:dyDescent="0.25">
      <c r="A5" s="304"/>
      <c r="B5" s="306"/>
      <c r="C5" s="291" t="s">
        <v>6</v>
      </c>
      <c r="D5" s="289" t="s">
        <v>127</v>
      </c>
      <c r="E5" s="290"/>
      <c r="F5" s="289" t="s">
        <v>126</v>
      </c>
      <c r="G5" s="290"/>
      <c r="H5" s="291" t="s">
        <v>9</v>
      </c>
      <c r="I5" s="291" t="s">
        <v>6</v>
      </c>
      <c r="J5" s="289" t="s">
        <v>127</v>
      </c>
      <c r="K5" s="290"/>
      <c r="L5" s="289" t="s">
        <v>126</v>
      </c>
      <c r="M5" s="290"/>
      <c r="N5" s="291" t="s">
        <v>9</v>
      </c>
      <c r="O5" s="291" t="s">
        <v>6</v>
      </c>
      <c r="P5" s="289" t="s">
        <v>127</v>
      </c>
      <c r="Q5" s="290"/>
      <c r="R5" s="289" t="s">
        <v>126</v>
      </c>
      <c r="S5" s="290"/>
      <c r="T5" s="291" t="s">
        <v>9</v>
      </c>
      <c r="U5" s="305" t="s">
        <v>128</v>
      </c>
    </row>
    <row r="6" spans="1:21" s="108" customFormat="1" ht="38.25" customHeight="1" x14ac:dyDescent="0.25">
      <c r="A6" s="304"/>
      <c r="B6" s="307"/>
      <c r="C6" s="292"/>
      <c r="D6" s="172" t="s">
        <v>124</v>
      </c>
      <c r="E6" s="172" t="s">
        <v>125</v>
      </c>
      <c r="F6" s="172" t="s">
        <v>124</v>
      </c>
      <c r="G6" s="172" t="s">
        <v>125</v>
      </c>
      <c r="H6" s="292"/>
      <c r="I6" s="292"/>
      <c r="J6" s="172" t="s">
        <v>124</v>
      </c>
      <c r="K6" s="172" t="s">
        <v>125</v>
      </c>
      <c r="L6" s="172" t="s">
        <v>124</v>
      </c>
      <c r="M6" s="172" t="s">
        <v>125</v>
      </c>
      <c r="N6" s="292"/>
      <c r="O6" s="292"/>
      <c r="P6" s="172" t="s">
        <v>124</v>
      </c>
      <c r="Q6" s="172" t="s">
        <v>125</v>
      </c>
      <c r="R6" s="172" t="s">
        <v>124</v>
      </c>
      <c r="S6" s="172" t="s">
        <v>125</v>
      </c>
      <c r="T6" s="292"/>
      <c r="U6" s="307"/>
    </row>
    <row r="7" spans="1:21" ht="38.25" customHeight="1" x14ac:dyDescent="0.35">
      <c r="A7" s="171">
        <v>1</v>
      </c>
      <c r="B7" s="172" t="s">
        <v>78</v>
      </c>
      <c r="C7" s="139">
        <v>459.88999999999987</v>
      </c>
      <c r="D7" s="139">
        <v>0</v>
      </c>
      <c r="E7" s="139">
        <v>0</v>
      </c>
      <c r="F7" s="139">
        <v>0</v>
      </c>
      <c r="G7" s="139">
        <v>0</v>
      </c>
      <c r="H7" s="139">
        <v>459.88999999999987</v>
      </c>
      <c r="I7" s="139">
        <v>548.88999999999987</v>
      </c>
      <c r="J7" s="139">
        <v>2.165</v>
      </c>
      <c r="K7" s="139">
        <v>12.379999999999999</v>
      </c>
      <c r="L7" s="139">
        <v>0</v>
      </c>
      <c r="M7" s="139">
        <v>0</v>
      </c>
      <c r="N7" s="139">
        <v>551.05499999999984</v>
      </c>
      <c r="O7" s="139">
        <v>70.100000000000009</v>
      </c>
      <c r="P7" s="139">
        <v>0</v>
      </c>
      <c r="Q7" s="139">
        <v>0</v>
      </c>
      <c r="R7" s="139">
        <v>0</v>
      </c>
      <c r="S7" s="139">
        <v>0</v>
      </c>
      <c r="T7" s="139">
        <v>70.100000000000009</v>
      </c>
      <c r="U7" s="139">
        <v>1081.0449999999996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0.99500000000000011</v>
      </c>
      <c r="F8" s="139">
        <v>0</v>
      </c>
      <c r="G8" s="139">
        <v>0</v>
      </c>
      <c r="H8" s="139">
        <v>5.3350000000000009</v>
      </c>
      <c r="I8" s="139">
        <v>76.989000000000033</v>
      </c>
      <c r="J8" s="139">
        <v>1.681</v>
      </c>
      <c r="K8" s="139">
        <v>25.36</v>
      </c>
      <c r="L8" s="139">
        <v>0</v>
      </c>
      <c r="M8" s="139">
        <v>0</v>
      </c>
      <c r="N8" s="139">
        <v>78.67000000000003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84.215000000000018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1</v>
      </c>
      <c r="H9" s="139">
        <v>308.7600000000001</v>
      </c>
      <c r="I9" s="139">
        <v>534.38800000000003</v>
      </c>
      <c r="J9" s="139">
        <v>1.35</v>
      </c>
      <c r="K9" s="139">
        <v>97.707999999999998</v>
      </c>
      <c r="L9" s="139">
        <v>0</v>
      </c>
      <c r="M9" s="139">
        <v>0</v>
      </c>
      <c r="N9" s="139">
        <v>535.73800000000006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889.30800000000011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479.56499999999994</v>
      </c>
      <c r="J10" s="139">
        <v>0.83</v>
      </c>
      <c r="K10" s="139">
        <v>6.7250000000000005</v>
      </c>
      <c r="L10" s="139">
        <v>0</v>
      </c>
      <c r="M10" s="139">
        <v>0</v>
      </c>
      <c r="N10" s="139">
        <v>480.39499999999992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488.55499999999995</v>
      </c>
    </row>
    <row r="11" spans="1:21" s="111" customFormat="1" ht="38.25" customHeight="1" x14ac:dyDescent="0.4">
      <c r="A11" s="289" t="s">
        <v>82</v>
      </c>
      <c r="B11" s="290"/>
      <c r="C11" s="141">
        <v>781.34499999999991</v>
      </c>
      <c r="D11" s="141">
        <v>0</v>
      </c>
      <c r="E11" s="141">
        <v>0.99500000000000011</v>
      </c>
      <c r="F11" s="141">
        <v>0</v>
      </c>
      <c r="G11" s="141">
        <v>1</v>
      </c>
      <c r="H11" s="141">
        <v>781.34499999999991</v>
      </c>
      <c r="I11" s="141">
        <v>1639.8319999999999</v>
      </c>
      <c r="J11" s="141">
        <v>6.0259999999999998</v>
      </c>
      <c r="K11" s="141">
        <v>142.17299999999997</v>
      </c>
      <c r="L11" s="141">
        <v>0</v>
      </c>
      <c r="M11" s="141">
        <v>0</v>
      </c>
      <c r="N11" s="141">
        <v>1645.8579999999999</v>
      </c>
      <c r="O11" s="141">
        <v>115.92</v>
      </c>
      <c r="P11" s="141">
        <v>0</v>
      </c>
      <c r="Q11" s="141">
        <v>0</v>
      </c>
      <c r="R11" s="141">
        <v>0</v>
      </c>
      <c r="S11" s="141">
        <v>0</v>
      </c>
      <c r="T11" s="141">
        <v>115.92</v>
      </c>
      <c r="U11" s="141">
        <v>2543.1229999999996</v>
      </c>
    </row>
    <row r="12" spans="1:21" ht="38.25" customHeight="1" x14ac:dyDescent="0.35">
      <c r="A12" s="171">
        <v>4</v>
      </c>
      <c r="B12" s="172" t="s">
        <v>83</v>
      </c>
      <c r="C12" s="139">
        <v>558.03999999999962</v>
      </c>
      <c r="D12" s="139">
        <v>0</v>
      </c>
      <c r="E12" s="139">
        <v>0.18</v>
      </c>
      <c r="F12" s="139">
        <v>0</v>
      </c>
      <c r="G12" s="139">
        <v>9.4</v>
      </c>
      <c r="H12" s="139">
        <v>558.03999999999962</v>
      </c>
      <c r="I12" s="139">
        <v>720.55999999999983</v>
      </c>
      <c r="J12" s="139">
        <v>1.48</v>
      </c>
      <c r="K12" s="139">
        <v>16.82</v>
      </c>
      <c r="L12" s="139">
        <v>0</v>
      </c>
      <c r="M12" s="139">
        <v>0</v>
      </c>
      <c r="N12" s="139">
        <v>722.03999999999985</v>
      </c>
      <c r="O12" s="139">
        <v>42.680000000000007</v>
      </c>
      <c r="P12" s="139">
        <v>0</v>
      </c>
      <c r="Q12" s="139">
        <v>2.25</v>
      </c>
      <c r="R12" s="139">
        <v>0</v>
      </c>
      <c r="S12" s="139">
        <v>0</v>
      </c>
      <c r="T12" s="139">
        <v>42.680000000000007</v>
      </c>
      <c r="U12" s="139">
        <v>1322.7599999999995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519.0300000000002</v>
      </c>
      <c r="J13" s="139">
        <v>1.87</v>
      </c>
      <c r="K13" s="139">
        <v>27.37</v>
      </c>
      <c r="L13" s="139">
        <v>0</v>
      </c>
      <c r="M13" s="139">
        <v>0</v>
      </c>
      <c r="N13" s="139">
        <v>520.9000000000002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858.01000000000033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</v>
      </c>
      <c r="E14" s="139">
        <v>1.7200000000000002</v>
      </c>
      <c r="F14" s="139">
        <v>0</v>
      </c>
      <c r="G14" s="139">
        <v>234.93999999999997</v>
      </c>
      <c r="H14" s="139">
        <v>1277.7599999999993</v>
      </c>
      <c r="I14" s="139">
        <v>820.13000000000022</v>
      </c>
      <c r="J14" s="139">
        <v>8.27</v>
      </c>
      <c r="K14" s="139">
        <v>269.66999999999996</v>
      </c>
      <c r="L14" s="139">
        <v>0</v>
      </c>
      <c r="M14" s="139">
        <v>0</v>
      </c>
      <c r="N14" s="139">
        <v>828.4000000000002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0.05</v>
      </c>
      <c r="T14" s="139">
        <v>57.749999999999993</v>
      </c>
      <c r="U14" s="139">
        <v>2163.9099999999994</v>
      </c>
    </row>
    <row r="15" spans="1:21" s="111" customFormat="1" ht="38.25" customHeight="1" x14ac:dyDescent="0.4">
      <c r="A15" s="289" t="s">
        <v>86</v>
      </c>
      <c r="B15" s="290"/>
      <c r="C15" s="141">
        <v>2151.4199999999992</v>
      </c>
      <c r="D15" s="141">
        <v>0</v>
      </c>
      <c r="E15" s="141">
        <v>1.9000000000000001</v>
      </c>
      <c r="F15" s="141">
        <v>0</v>
      </c>
      <c r="G15" s="141">
        <v>244.33999999999997</v>
      </c>
      <c r="H15" s="141">
        <v>2151.4199999999992</v>
      </c>
      <c r="I15" s="141">
        <v>2059.7200000000003</v>
      </c>
      <c r="J15" s="141">
        <v>11.62</v>
      </c>
      <c r="K15" s="141">
        <v>313.85999999999996</v>
      </c>
      <c r="L15" s="141">
        <v>0</v>
      </c>
      <c r="M15" s="141">
        <v>0</v>
      </c>
      <c r="N15" s="141">
        <v>2071.34</v>
      </c>
      <c r="O15" s="141">
        <v>121.91999999999999</v>
      </c>
      <c r="P15" s="141">
        <v>0</v>
      </c>
      <c r="Q15" s="141">
        <v>2.25</v>
      </c>
      <c r="R15" s="141">
        <v>0</v>
      </c>
      <c r="S15" s="141">
        <v>0.05</v>
      </c>
      <c r="T15" s="141">
        <v>121.91999999999999</v>
      </c>
      <c r="U15" s="141">
        <v>4344.6799999999994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1024.6740000000004</v>
      </c>
      <c r="D16" s="139">
        <v>0.12</v>
      </c>
      <c r="E16" s="139">
        <v>29.870000000000008</v>
      </c>
      <c r="F16" s="139">
        <v>0</v>
      </c>
      <c r="G16" s="139">
        <v>0.45</v>
      </c>
      <c r="H16" s="139">
        <v>1024.7940000000003</v>
      </c>
      <c r="I16" s="139">
        <v>110.44599999999997</v>
      </c>
      <c r="J16" s="139">
        <v>0.32500000000000001</v>
      </c>
      <c r="K16" s="139">
        <v>5.1949999999999994</v>
      </c>
      <c r="L16" s="139">
        <v>0</v>
      </c>
      <c r="M16" s="139">
        <v>0</v>
      </c>
      <c r="N16" s="139">
        <v>110.77099999999997</v>
      </c>
      <c r="O16" s="139">
        <v>245.90200000000002</v>
      </c>
      <c r="P16" s="139">
        <v>0</v>
      </c>
      <c r="Q16" s="139">
        <v>0.02</v>
      </c>
      <c r="R16" s="139">
        <v>0</v>
      </c>
      <c r="S16" s="139">
        <v>0</v>
      </c>
      <c r="T16" s="139">
        <v>245.90200000000002</v>
      </c>
      <c r="U16" s="139">
        <v>1381.4670000000003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0.48799999999999999</v>
      </c>
      <c r="F17" s="174">
        <v>0</v>
      </c>
      <c r="G17" s="139">
        <v>0</v>
      </c>
      <c r="H17" s="139">
        <v>183.82599999999994</v>
      </c>
      <c r="I17" s="139">
        <v>338.31500000000011</v>
      </c>
      <c r="J17" s="174">
        <v>2.4249999999999998</v>
      </c>
      <c r="K17" s="139">
        <v>15.084</v>
      </c>
      <c r="L17" s="174">
        <v>0</v>
      </c>
      <c r="M17" s="139">
        <v>0.02</v>
      </c>
      <c r="N17" s="139">
        <v>340.74000000000012</v>
      </c>
      <c r="O17" s="139">
        <v>64.375</v>
      </c>
      <c r="P17" s="174">
        <v>0</v>
      </c>
      <c r="Q17" s="139">
        <v>0</v>
      </c>
      <c r="R17" s="174">
        <v>0</v>
      </c>
      <c r="S17" s="139">
        <v>0</v>
      </c>
      <c r="T17" s="139">
        <v>64.375</v>
      </c>
      <c r="U17" s="139">
        <v>588.94100000000003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</v>
      </c>
      <c r="E18" s="139">
        <v>1.1100000000000001</v>
      </c>
      <c r="F18" s="139">
        <v>0</v>
      </c>
      <c r="G18" s="139">
        <v>0</v>
      </c>
      <c r="H18" s="139">
        <v>210.55600000000007</v>
      </c>
      <c r="I18" s="139">
        <v>345.67199999999997</v>
      </c>
      <c r="J18" s="139">
        <v>0.53500000000000003</v>
      </c>
      <c r="K18" s="139">
        <v>7.1060000000000008</v>
      </c>
      <c r="L18" s="139">
        <v>0</v>
      </c>
      <c r="M18" s="139">
        <v>0</v>
      </c>
      <c r="N18" s="139">
        <v>346.20699999999999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565.13800000000003</v>
      </c>
    </row>
    <row r="19" spans="1:21" s="111" customFormat="1" ht="38.25" customHeight="1" x14ac:dyDescent="0.4">
      <c r="A19" s="289" t="s">
        <v>89</v>
      </c>
      <c r="B19" s="290"/>
      <c r="C19" s="141">
        <v>1419.0560000000005</v>
      </c>
      <c r="D19" s="141">
        <v>0.12</v>
      </c>
      <c r="E19" s="141">
        <v>31.468000000000007</v>
      </c>
      <c r="F19" s="141">
        <v>0</v>
      </c>
      <c r="G19" s="141">
        <v>0.45</v>
      </c>
      <c r="H19" s="141">
        <v>1419.1760000000004</v>
      </c>
      <c r="I19" s="141">
        <v>794.43299999999999</v>
      </c>
      <c r="J19" s="141">
        <v>3.2850000000000001</v>
      </c>
      <c r="K19" s="141">
        <v>27.385000000000002</v>
      </c>
      <c r="L19" s="141">
        <v>0</v>
      </c>
      <c r="M19" s="141">
        <v>0.02</v>
      </c>
      <c r="N19" s="141">
        <v>797.71799999999996</v>
      </c>
      <c r="O19" s="141">
        <v>318.65200000000004</v>
      </c>
      <c r="P19" s="141">
        <v>0</v>
      </c>
      <c r="Q19" s="141">
        <v>0.02</v>
      </c>
      <c r="R19" s="141">
        <v>0</v>
      </c>
      <c r="S19" s="141">
        <v>0</v>
      </c>
      <c r="T19" s="141">
        <v>318.65200000000004</v>
      </c>
      <c r="U19" s="141">
        <v>2535.5460000000003</v>
      </c>
    </row>
    <row r="20" spans="1:21" ht="38.25" customHeight="1" x14ac:dyDescent="0.35">
      <c r="A20" s="171">
        <v>8</v>
      </c>
      <c r="B20" s="172" t="s">
        <v>91</v>
      </c>
      <c r="C20" s="139">
        <v>639.5</v>
      </c>
      <c r="D20" s="139">
        <v>0.15</v>
      </c>
      <c r="E20" s="139">
        <v>7.29</v>
      </c>
      <c r="F20" s="139">
        <v>0</v>
      </c>
      <c r="G20" s="139">
        <v>0</v>
      </c>
      <c r="H20" s="139">
        <v>639.65</v>
      </c>
      <c r="I20" s="139">
        <v>389.05000000000007</v>
      </c>
      <c r="J20" s="139">
        <v>0.96</v>
      </c>
      <c r="K20" s="139">
        <v>19.05</v>
      </c>
      <c r="L20" s="139">
        <v>0</v>
      </c>
      <c r="M20" s="139">
        <v>0</v>
      </c>
      <c r="N20" s="139">
        <v>390.01000000000005</v>
      </c>
      <c r="O20" s="139">
        <v>40.220000000000006</v>
      </c>
      <c r="P20" s="139">
        <v>0</v>
      </c>
      <c r="Q20" s="139">
        <v>0.03</v>
      </c>
      <c r="R20" s="139">
        <v>0</v>
      </c>
      <c r="S20" s="139">
        <v>0</v>
      </c>
      <c r="T20" s="139">
        <v>40.220000000000006</v>
      </c>
      <c r="U20" s="139">
        <v>1069.8800000000001</v>
      </c>
    </row>
    <row r="21" spans="1:21" ht="38.25" customHeight="1" x14ac:dyDescent="0.35">
      <c r="A21" s="171">
        <v>9</v>
      </c>
      <c r="B21" s="172" t="s">
        <v>90</v>
      </c>
      <c r="C21" s="139">
        <v>18.919999999999995</v>
      </c>
      <c r="D21" s="139">
        <v>0</v>
      </c>
      <c r="E21" s="139">
        <v>0</v>
      </c>
      <c r="F21" s="139">
        <v>0</v>
      </c>
      <c r="G21" s="139">
        <v>0</v>
      </c>
      <c r="H21" s="139">
        <v>18.919999999999995</v>
      </c>
      <c r="I21" s="139">
        <v>387.94299999999998</v>
      </c>
      <c r="J21" s="139">
        <v>0.56000000000000005</v>
      </c>
      <c r="K21" s="139">
        <v>23.290000000000003</v>
      </c>
      <c r="L21" s="139">
        <v>0</v>
      </c>
      <c r="M21" s="139">
        <v>0</v>
      </c>
      <c r="N21" s="139">
        <v>388.50299999999999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426.983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</v>
      </c>
      <c r="E22" s="139">
        <v>0.18</v>
      </c>
      <c r="F22" s="139">
        <v>0</v>
      </c>
      <c r="G22" s="139">
        <v>102.25999999999999</v>
      </c>
      <c r="H22" s="139">
        <v>180.71000000000004</v>
      </c>
      <c r="I22" s="139">
        <v>352.47499999999997</v>
      </c>
      <c r="J22" s="139">
        <v>0.99</v>
      </c>
      <c r="K22" s="139">
        <v>210.56500000000003</v>
      </c>
      <c r="L22" s="139">
        <v>0</v>
      </c>
      <c r="M22" s="139">
        <v>0</v>
      </c>
      <c r="N22" s="139">
        <v>353.46499999999997</v>
      </c>
      <c r="O22" s="139">
        <v>13.350000000000001</v>
      </c>
      <c r="P22" s="139">
        <v>0</v>
      </c>
      <c r="Q22" s="139">
        <v>0</v>
      </c>
      <c r="R22" s="139">
        <v>0</v>
      </c>
      <c r="S22" s="139">
        <v>0</v>
      </c>
      <c r="T22" s="139">
        <v>13.350000000000001</v>
      </c>
      <c r="U22" s="139">
        <v>547.52499999999998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422.26999999999987</v>
      </c>
      <c r="D23" s="139">
        <v>2.5000000000000001E-2</v>
      </c>
      <c r="E23" s="139">
        <v>9.9649999999999999</v>
      </c>
      <c r="F23" s="139">
        <v>0</v>
      </c>
      <c r="G23" s="139">
        <v>0</v>
      </c>
      <c r="H23" s="139">
        <v>422.29499999999985</v>
      </c>
      <c r="I23" s="139">
        <v>76.599999999999994</v>
      </c>
      <c r="J23" s="139">
        <v>0.2</v>
      </c>
      <c r="K23" s="139">
        <v>4.4200000000000008</v>
      </c>
      <c r="L23" s="139">
        <v>0</v>
      </c>
      <c r="M23" s="139">
        <v>0</v>
      </c>
      <c r="N23" s="139">
        <v>76.8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521.5949999999998</v>
      </c>
    </row>
    <row r="24" spans="1:21" s="111" customFormat="1" ht="38.25" customHeight="1" x14ac:dyDescent="0.4">
      <c r="A24" s="294" t="s">
        <v>94</v>
      </c>
      <c r="B24" s="294"/>
      <c r="C24" s="141">
        <v>1261.3999999999999</v>
      </c>
      <c r="D24" s="141">
        <v>0.17499999999999999</v>
      </c>
      <c r="E24" s="141">
        <v>17.434999999999999</v>
      </c>
      <c r="F24" s="141">
        <v>0</v>
      </c>
      <c r="G24" s="141">
        <v>102.25999999999999</v>
      </c>
      <c r="H24" s="141">
        <v>1261.5749999999998</v>
      </c>
      <c r="I24" s="141">
        <v>1206.068</v>
      </c>
      <c r="J24" s="141">
        <v>2.71</v>
      </c>
      <c r="K24" s="141">
        <v>257.32500000000005</v>
      </c>
      <c r="L24" s="141">
        <v>0</v>
      </c>
      <c r="M24" s="141">
        <v>0</v>
      </c>
      <c r="N24" s="141">
        <v>1208.778</v>
      </c>
      <c r="O24" s="141">
        <v>95.63</v>
      </c>
      <c r="P24" s="141">
        <v>0</v>
      </c>
      <c r="Q24" s="141">
        <v>0.03</v>
      </c>
      <c r="R24" s="141">
        <v>0</v>
      </c>
      <c r="S24" s="141">
        <v>0</v>
      </c>
      <c r="T24" s="141">
        <v>95.63</v>
      </c>
      <c r="U24" s="141">
        <v>2565.9829999999997</v>
      </c>
    </row>
    <row r="25" spans="1:21" s="145" customFormat="1" ht="38.25" customHeight="1" x14ac:dyDescent="0.4">
      <c r="A25" s="295" t="s">
        <v>95</v>
      </c>
      <c r="B25" s="296"/>
      <c r="C25" s="141">
        <v>5613.2209999999995</v>
      </c>
      <c r="D25" s="141">
        <v>0.29499999999999998</v>
      </c>
      <c r="E25" s="141">
        <v>51.798000000000002</v>
      </c>
      <c r="F25" s="141">
        <v>0</v>
      </c>
      <c r="G25" s="141">
        <v>348.04999999999995</v>
      </c>
      <c r="H25" s="141">
        <v>5613.5159999999996</v>
      </c>
      <c r="I25" s="141">
        <v>5700.0529999999999</v>
      </c>
      <c r="J25" s="141">
        <v>23.640999999999998</v>
      </c>
      <c r="K25" s="141">
        <v>740.74299999999994</v>
      </c>
      <c r="L25" s="141">
        <v>0</v>
      </c>
      <c r="M25" s="141">
        <v>0.02</v>
      </c>
      <c r="N25" s="141">
        <v>5723.6939999999995</v>
      </c>
      <c r="O25" s="141">
        <v>652.12199999999996</v>
      </c>
      <c r="P25" s="141">
        <v>0</v>
      </c>
      <c r="Q25" s="141">
        <v>2.2999999999999998</v>
      </c>
      <c r="R25" s="141">
        <v>0</v>
      </c>
      <c r="S25" s="141">
        <v>0.05</v>
      </c>
      <c r="T25" s="141">
        <v>652.12199999999996</v>
      </c>
      <c r="U25" s="141">
        <v>11989.331999999999</v>
      </c>
    </row>
    <row r="26" spans="1:21" ht="38.25" customHeight="1" x14ac:dyDescent="0.35">
      <c r="A26" s="171">
        <v>15</v>
      </c>
      <c r="B26" s="172" t="s">
        <v>96</v>
      </c>
      <c r="C26" s="139">
        <v>7382.3999999999987</v>
      </c>
      <c r="D26" s="139">
        <v>18.247</v>
      </c>
      <c r="E26" s="139">
        <v>239.36699999999996</v>
      </c>
      <c r="F26" s="139">
        <v>0</v>
      </c>
      <c r="G26" s="139">
        <v>0</v>
      </c>
      <c r="H26" s="139">
        <v>7400.646999999999</v>
      </c>
      <c r="I26" s="139">
        <v>59.050000000000004</v>
      </c>
      <c r="J26" s="139">
        <v>0</v>
      </c>
      <c r="K26" s="139">
        <v>0.31000000000000005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0</v>
      </c>
      <c r="Q26" s="139">
        <v>0</v>
      </c>
      <c r="R26" s="139">
        <v>0</v>
      </c>
      <c r="S26" s="139">
        <v>0</v>
      </c>
      <c r="T26" s="139">
        <v>1.02</v>
      </c>
      <c r="U26" s="139">
        <v>7460.7169999999996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5457.6700000000019</v>
      </c>
      <c r="D27" s="139">
        <v>10.83</v>
      </c>
      <c r="E27" s="139">
        <v>439.28</v>
      </c>
      <c r="F27" s="139">
        <v>0</v>
      </c>
      <c r="G27" s="139">
        <v>0</v>
      </c>
      <c r="H27" s="139">
        <v>5468.5000000000018</v>
      </c>
      <c r="I27" s="139">
        <v>554.61800000000005</v>
      </c>
      <c r="J27" s="139">
        <v>1.38</v>
      </c>
      <c r="K27" s="139">
        <v>25.59</v>
      </c>
      <c r="L27" s="139">
        <v>0</v>
      </c>
      <c r="M27" s="139">
        <v>0</v>
      </c>
      <c r="N27" s="139">
        <v>555.99800000000005</v>
      </c>
      <c r="O27" s="139">
        <v>16.920000000000002</v>
      </c>
      <c r="P27" s="139">
        <v>0</v>
      </c>
      <c r="Q27" s="139">
        <v>12.71</v>
      </c>
      <c r="R27" s="139">
        <v>0</v>
      </c>
      <c r="S27" s="139">
        <v>0</v>
      </c>
      <c r="T27" s="139">
        <v>16.920000000000002</v>
      </c>
      <c r="U27" s="139">
        <v>6041.4180000000015</v>
      </c>
    </row>
    <row r="28" spans="1:21" s="111" customFormat="1" ht="38.25" customHeight="1" x14ac:dyDescent="0.4">
      <c r="A28" s="294" t="s">
        <v>98</v>
      </c>
      <c r="B28" s="294"/>
      <c r="C28" s="141">
        <v>12840.07</v>
      </c>
      <c r="D28" s="141">
        <v>29.076999999999998</v>
      </c>
      <c r="E28" s="141">
        <v>678.64699999999993</v>
      </c>
      <c r="F28" s="141">
        <v>0</v>
      </c>
      <c r="G28" s="141">
        <v>0</v>
      </c>
      <c r="H28" s="141">
        <v>12869.147000000001</v>
      </c>
      <c r="I28" s="141">
        <v>613.66800000000001</v>
      </c>
      <c r="J28" s="141">
        <v>1.38</v>
      </c>
      <c r="K28" s="141">
        <v>25.9</v>
      </c>
      <c r="L28" s="141">
        <v>0</v>
      </c>
      <c r="M28" s="141">
        <v>0</v>
      </c>
      <c r="N28" s="141">
        <v>615.048</v>
      </c>
      <c r="O28" s="141">
        <v>17.940000000000001</v>
      </c>
      <c r="P28" s="141">
        <v>0</v>
      </c>
      <c r="Q28" s="141">
        <v>12.71</v>
      </c>
      <c r="R28" s="141">
        <v>0</v>
      </c>
      <c r="S28" s="141">
        <v>0</v>
      </c>
      <c r="T28" s="141">
        <v>17.940000000000001</v>
      </c>
      <c r="U28" s="141">
        <v>13502.135000000002</v>
      </c>
    </row>
    <row r="29" spans="1:21" ht="38.25" customHeight="1" x14ac:dyDescent="0.35">
      <c r="A29" s="171">
        <v>17</v>
      </c>
      <c r="B29" s="172" t="s">
        <v>99</v>
      </c>
      <c r="C29" s="139">
        <v>4366.7870000000003</v>
      </c>
      <c r="D29" s="139">
        <v>16.29</v>
      </c>
      <c r="E29" s="139">
        <v>734.95999999999992</v>
      </c>
      <c r="F29" s="139">
        <v>0</v>
      </c>
      <c r="G29" s="139">
        <v>0</v>
      </c>
      <c r="H29" s="139">
        <v>4383.0770000000002</v>
      </c>
      <c r="I29" s="139">
        <v>96.66</v>
      </c>
      <c r="J29" s="139">
        <v>0</v>
      </c>
      <c r="K29" s="139">
        <v>9.52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4537.4570000000003</v>
      </c>
    </row>
    <row r="30" spans="1:21" ht="38.25" customHeight="1" x14ac:dyDescent="0.35">
      <c r="A30" s="171">
        <v>18</v>
      </c>
      <c r="B30" s="172" t="s">
        <v>100</v>
      </c>
      <c r="C30" s="139">
        <v>399.4319999999999</v>
      </c>
      <c r="D30" s="139">
        <v>3.48</v>
      </c>
      <c r="E30" s="139">
        <v>45.309999999999995</v>
      </c>
      <c r="F30" s="139">
        <v>0</v>
      </c>
      <c r="G30" s="139">
        <v>0</v>
      </c>
      <c r="H30" s="139">
        <v>402.91199999999992</v>
      </c>
      <c r="I30" s="139">
        <v>21.497</v>
      </c>
      <c r="J30" s="139">
        <v>0</v>
      </c>
      <c r="K30" s="139">
        <v>1.4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424.45899999999995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4223.1610000000001</v>
      </c>
      <c r="D31" s="139">
        <v>0.39</v>
      </c>
      <c r="E31" s="139">
        <v>42.349999999999994</v>
      </c>
      <c r="F31" s="139">
        <v>0</v>
      </c>
      <c r="G31" s="139">
        <v>0</v>
      </c>
      <c r="H31" s="139">
        <v>4223.5510000000004</v>
      </c>
      <c r="I31" s="139">
        <v>100.31000000000002</v>
      </c>
      <c r="J31" s="139">
        <v>0</v>
      </c>
      <c r="K31" s="139">
        <v>0</v>
      </c>
      <c r="L31" s="139">
        <v>0</v>
      </c>
      <c r="M31" s="139">
        <v>0</v>
      </c>
      <c r="N31" s="139">
        <v>100.31000000000002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4482.2110000000011</v>
      </c>
    </row>
    <row r="32" spans="1:21" ht="38.25" customHeight="1" x14ac:dyDescent="0.35">
      <c r="A32" s="171">
        <v>20</v>
      </c>
      <c r="B32" s="172" t="s">
        <v>102</v>
      </c>
      <c r="C32" s="139">
        <v>2575.2408</v>
      </c>
      <c r="D32" s="139">
        <v>2.0750000000000002</v>
      </c>
      <c r="E32" s="139">
        <v>61.007000000000005</v>
      </c>
      <c r="F32" s="139">
        <v>0</v>
      </c>
      <c r="G32" s="139">
        <v>0</v>
      </c>
      <c r="H32" s="139">
        <v>2577.3157999999999</v>
      </c>
      <c r="I32" s="139">
        <v>181.34900000000005</v>
      </c>
      <c r="J32" s="139">
        <v>0.71199999999999997</v>
      </c>
      <c r="K32" s="139">
        <v>23.512</v>
      </c>
      <c r="L32" s="139">
        <v>0</v>
      </c>
      <c r="M32" s="139">
        <v>0</v>
      </c>
      <c r="N32" s="139">
        <v>182.06100000000004</v>
      </c>
      <c r="O32" s="139">
        <v>20.465</v>
      </c>
      <c r="P32" s="139">
        <v>0.32</v>
      </c>
      <c r="Q32" s="139">
        <v>0.63500000000000001</v>
      </c>
      <c r="R32" s="139">
        <v>0</v>
      </c>
      <c r="S32" s="139">
        <v>0</v>
      </c>
      <c r="T32" s="139">
        <v>20.785</v>
      </c>
      <c r="U32" s="139">
        <v>2780.1617999999999</v>
      </c>
    </row>
    <row r="33" spans="1:21" s="111" customFormat="1" ht="38.25" customHeight="1" x14ac:dyDescent="0.4">
      <c r="A33" s="294" t="s">
        <v>99</v>
      </c>
      <c r="B33" s="294"/>
      <c r="C33" s="141">
        <v>11564.620800000001</v>
      </c>
      <c r="D33" s="141">
        <v>22.234999999999999</v>
      </c>
      <c r="E33" s="141">
        <v>883.62699999999995</v>
      </c>
      <c r="F33" s="141">
        <v>0</v>
      </c>
      <c r="G33" s="141">
        <v>0</v>
      </c>
      <c r="H33" s="141">
        <v>11586.855800000001</v>
      </c>
      <c r="I33" s="141">
        <v>399.81600000000003</v>
      </c>
      <c r="J33" s="141">
        <v>0.71199999999999997</v>
      </c>
      <c r="K33" s="141">
        <v>34.432000000000002</v>
      </c>
      <c r="L33" s="141">
        <v>0</v>
      </c>
      <c r="M33" s="141">
        <v>0</v>
      </c>
      <c r="N33" s="141">
        <v>400.52800000000002</v>
      </c>
      <c r="O33" s="141">
        <v>236.58500000000001</v>
      </c>
      <c r="P33" s="141">
        <v>0.32</v>
      </c>
      <c r="Q33" s="141">
        <v>0.63500000000000001</v>
      </c>
      <c r="R33" s="141">
        <v>0</v>
      </c>
      <c r="S33" s="141">
        <v>0</v>
      </c>
      <c r="T33" s="141">
        <v>236.905</v>
      </c>
      <c r="U33" s="141">
        <v>12224.2888</v>
      </c>
    </row>
    <row r="34" spans="1:21" ht="38.25" customHeight="1" x14ac:dyDescent="0.35">
      <c r="A34" s="171">
        <v>21</v>
      </c>
      <c r="B34" s="172" t="s">
        <v>103</v>
      </c>
      <c r="C34" s="139">
        <v>4371.1800000000012</v>
      </c>
      <c r="D34" s="139">
        <v>1.1100000000000001</v>
      </c>
      <c r="E34" s="139">
        <v>228.41000000000003</v>
      </c>
      <c r="F34" s="139">
        <v>0</v>
      </c>
      <c r="G34" s="139">
        <v>0</v>
      </c>
      <c r="H34" s="139">
        <v>4372.2900000000009</v>
      </c>
      <c r="I34" s="139">
        <v>9.4</v>
      </c>
      <c r="J34" s="139">
        <v>0</v>
      </c>
      <c r="K34" s="139">
        <v>1.8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4381.6900000000005</v>
      </c>
    </row>
    <row r="35" spans="1:21" ht="38.25" customHeight="1" x14ac:dyDescent="0.35">
      <c r="A35" s="171">
        <v>22</v>
      </c>
      <c r="B35" s="172" t="s">
        <v>104</v>
      </c>
      <c r="C35" s="139">
        <v>5871.3099999999977</v>
      </c>
      <c r="D35" s="139">
        <v>23.81</v>
      </c>
      <c r="E35" s="139">
        <v>252.54999999999998</v>
      </c>
      <c r="F35" s="139">
        <v>8.5</v>
      </c>
      <c r="G35" s="139">
        <v>24.7</v>
      </c>
      <c r="H35" s="139">
        <v>5886.6199999999981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5890.6499999999978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2887.22</v>
      </c>
      <c r="D36" s="139">
        <v>47.95</v>
      </c>
      <c r="E36" s="139">
        <v>231.92999999999995</v>
      </c>
      <c r="F36" s="139">
        <v>0</v>
      </c>
      <c r="G36" s="139">
        <v>0</v>
      </c>
      <c r="H36" s="139">
        <v>2935.1699999999996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3093.0199999999995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4686.2799999999988</v>
      </c>
      <c r="D37" s="139">
        <v>15.16</v>
      </c>
      <c r="E37" s="139">
        <v>69.98</v>
      </c>
      <c r="F37" s="139">
        <v>0</v>
      </c>
      <c r="G37" s="139">
        <v>0</v>
      </c>
      <c r="H37" s="139">
        <v>4701.4399999999987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4709.3999999999987</v>
      </c>
    </row>
    <row r="38" spans="1:21" s="111" customFormat="1" ht="38.25" customHeight="1" x14ac:dyDescent="0.4">
      <c r="A38" s="294" t="s">
        <v>107</v>
      </c>
      <c r="B38" s="294"/>
      <c r="C38" s="141">
        <v>17815.989999999998</v>
      </c>
      <c r="D38" s="141">
        <v>88.03</v>
      </c>
      <c r="E38" s="141">
        <v>782.87</v>
      </c>
      <c r="F38" s="141">
        <v>8.5</v>
      </c>
      <c r="G38" s="141">
        <v>24.7</v>
      </c>
      <c r="H38" s="141">
        <v>17895.519999999997</v>
      </c>
      <c r="I38" s="141">
        <v>175.97000000000003</v>
      </c>
      <c r="J38" s="141">
        <v>0</v>
      </c>
      <c r="K38" s="141">
        <v>1.8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18074.759999999995</v>
      </c>
    </row>
    <row r="39" spans="1:21" s="145" customFormat="1" ht="38.25" customHeight="1" x14ac:dyDescent="0.4">
      <c r="A39" s="297" t="s">
        <v>108</v>
      </c>
      <c r="B39" s="297"/>
      <c r="C39" s="141">
        <v>42220.680800000002</v>
      </c>
      <c r="D39" s="141">
        <v>139.34199999999998</v>
      </c>
      <c r="E39" s="141">
        <v>2345.1439999999998</v>
      </c>
      <c r="F39" s="141">
        <v>8.5</v>
      </c>
      <c r="G39" s="141">
        <v>24.7</v>
      </c>
      <c r="H39" s="141">
        <v>42351.522799999999</v>
      </c>
      <c r="I39" s="141">
        <v>1189.4540000000002</v>
      </c>
      <c r="J39" s="141">
        <v>2.0919999999999996</v>
      </c>
      <c r="K39" s="141">
        <v>62.131999999999998</v>
      </c>
      <c r="L39" s="141">
        <v>0</v>
      </c>
      <c r="M39" s="141">
        <v>0</v>
      </c>
      <c r="N39" s="141">
        <v>1191.5460000000003</v>
      </c>
      <c r="O39" s="141">
        <v>257.79500000000002</v>
      </c>
      <c r="P39" s="141">
        <v>0.32</v>
      </c>
      <c r="Q39" s="141">
        <v>13.345000000000001</v>
      </c>
      <c r="R39" s="141">
        <v>0</v>
      </c>
      <c r="S39" s="141">
        <v>0</v>
      </c>
      <c r="T39" s="141">
        <v>258.11500000000001</v>
      </c>
      <c r="U39" s="141">
        <v>43801.183799999999</v>
      </c>
    </row>
    <row r="40" spans="1:21" ht="38.25" customHeight="1" x14ac:dyDescent="0.35">
      <c r="A40" s="171">
        <v>25</v>
      </c>
      <c r="B40" s="172" t="s">
        <v>109</v>
      </c>
      <c r="C40" s="139">
        <v>10988.179999999997</v>
      </c>
      <c r="D40" s="139">
        <v>6.68</v>
      </c>
      <c r="E40" s="139">
        <v>396.14</v>
      </c>
      <c r="F40" s="139">
        <v>0</v>
      </c>
      <c r="G40" s="139">
        <v>0</v>
      </c>
      <c r="H40" s="139">
        <v>10994.859999999997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10994.859999999997</v>
      </c>
    </row>
    <row r="41" spans="1:21" ht="38.25" customHeight="1" x14ac:dyDescent="0.35">
      <c r="A41" s="171">
        <v>26</v>
      </c>
      <c r="B41" s="172" t="s">
        <v>110</v>
      </c>
      <c r="C41" s="139">
        <v>7064.8159999999953</v>
      </c>
      <c r="D41" s="139">
        <v>6.87</v>
      </c>
      <c r="E41" s="139">
        <v>70.040000000000006</v>
      </c>
      <c r="F41" s="139">
        <v>0</v>
      </c>
      <c r="G41" s="139">
        <v>0</v>
      </c>
      <c r="H41" s="139">
        <v>7071.6859999999951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7071.6859999999951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13469.605999999996</v>
      </c>
      <c r="D42" s="139">
        <v>44.51</v>
      </c>
      <c r="E42" s="139">
        <v>250.09999999999997</v>
      </c>
      <c r="F42" s="139">
        <v>0</v>
      </c>
      <c r="G42" s="139">
        <v>0</v>
      </c>
      <c r="H42" s="139">
        <v>13514.115999999996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13514.115999999996</v>
      </c>
    </row>
    <row r="43" spans="1:21" ht="38.25" customHeight="1" x14ac:dyDescent="0.35">
      <c r="A43" s="171">
        <v>28</v>
      </c>
      <c r="B43" s="172" t="s">
        <v>112</v>
      </c>
      <c r="C43" s="139">
        <v>962.36800000000017</v>
      </c>
      <c r="D43" s="139">
        <v>9.2100000000000009</v>
      </c>
      <c r="E43" s="139">
        <v>248.61</v>
      </c>
      <c r="F43" s="139">
        <v>0</v>
      </c>
      <c r="G43" s="139">
        <v>0</v>
      </c>
      <c r="H43" s="139">
        <v>971.5780000000002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971.5780000000002</v>
      </c>
    </row>
    <row r="44" spans="1:21" s="111" customFormat="1" ht="38.25" customHeight="1" x14ac:dyDescent="0.4">
      <c r="A44" s="294" t="s">
        <v>109</v>
      </c>
      <c r="B44" s="294"/>
      <c r="C44" s="141">
        <v>32484.969999999987</v>
      </c>
      <c r="D44" s="141">
        <v>67.27000000000001</v>
      </c>
      <c r="E44" s="141">
        <v>964.89</v>
      </c>
      <c r="F44" s="141">
        <v>0</v>
      </c>
      <c r="G44" s="141">
        <v>0</v>
      </c>
      <c r="H44" s="141">
        <v>32552.239999999991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32552.239999999991</v>
      </c>
    </row>
    <row r="45" spans="1:21" ht="38.25" customHeight="1" x14ac:dyDescent="0.35">
      <c r="A45" s="171">
        <v>29</v>
      </c>
      <c r="B45" s="172" t="s">
        <v>113</v>
      </c>
      <c r="C45" s="139">
        <v>8039.3221000000012</v>
      </c>
      <c r="D45" s="139">
        <v>9.1199999999999992</v>
      </c>
      <c r="E45" s="139">
        <v>217.19000000000003</v>
      </c>
      <c r="F45" s="139">
        <v>0</v>
      </c>
      <c r="G45" s="139">
        <v>0</v>
      </c>
      <c r="H45" s="139">
        <v>8048.4421000000011</v>
      </c>
      <c r="I45" s="139">
        <v>0.81</v>
      </c>
      <c r="J45" s="139">
        <v>0.05</v>
      </c>
      <c r="K45" s="139">
        <v>0.16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8063.7321000000011</v>
      </c>
    </row>
    <row r="46" spans="1:21" ht="38.25" customHeight="1" x14ac:dyDescent="0.35">
      <c r="A46" s="171">
        <v>30</v>
      </c>
      <c r="B46" s="172" t="s">
        <v>114</v>
      </c>
      <c r="C46" s="139">
        <v>7647.4550000000008</v>
      </c>
      <c r="D46" s="139">
        <v>19.670000000000002</v>
      </c>
      <c r="E46" s="139">
        <v>507.27000000000004</v>
      </c>
      <c r="F46" s="139">
        <v>0</v>
      </c>
      <c r="G46" s="139">
        <v>0</v>
      </c>
      <c r="H46" s="139">
        <v>7667.1250000000009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7668.0850000000009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8379.18</v>
      </c>
      <c r="D47" s="139">
        <v>19.25</v>
      </c>
      <c r="E47" s="139">
        <v>480.7</v>
      </c>
      <c r="F47" s="139">
        <v>0</v>
      </c>
      <c r="G47" s="139">
        <v>0</v>
      </c>
      <c r="H47" s="139">
        <v>8398.43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8405.35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7487.83</v>
      </c>
      <c r="D48" s="139">
        <v>14.2</v>
      </c>
      <c r="E48" s="139">
        <v>329.37000000000006</v>
      </c>
      <c r="F48" s="139">
        <v>0</v>
      </c>
      <c r="G48" s="139">
        <v>0</v>
      </c>
      <c r="H48" s="139">
        <v>7502.03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7502.5349999999999</v>
      </c>
    </row>
    <row r="49" spans="1:21" s="111" customFormat="1" ht="38.25" customHeight="1" x14ac:dyDescent="0.4">
      <c r="A49" s="294" t="s">
        <v>117</v>
      </c>
      <c r="B49" s="294"/>
      <c r="C49" s="141">
        <v>31553.787100000001</v>
      </c>
      <c r="D49" s="141">
        <v>62.239999999999995</v>
      </c>
      <c r="E49" s="141">
        <v>1534.5300000000002</v>
      </c>
      <c r="F49" s="141">
        <v>0</v>
      </c>
      <c r="G49" s="141">
        <v>0</v>
      </c>
      <c r="H49" s="141">
        <v>31616.027099999999</v>
      </c>
      <c r="I49" s="141">
        <v>9.1650000000000009</v>
      </c>
      <c r="J49" s="141">
        <v>0.05</v>
      </c>
      <c r="K49" s="141">
        <v>0.16</v>
      </c>
      <c r="L49" s="141">
        <v>0</v>
      </c>
      <c r="M49" s="141">
        <v>0</v>
      </c>
      <c r="N49" s="141">
        <v>9.2150000000000016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31639.702100000002</v>
      </c>
    </row>
    <row r="50" spans="1:21" s="145" customFormat="1" ht="38.25" customHeight="1" x14ac:dyDescent="0.4">
      <c r="A50" s="297" t="s">
        <v>118</v>
      </c>
      <c r="B50" s="297"/>
      <c r="C50" s="141">
        <v>64038.757099999988</v>
      </c>
      <c r="D50" s="141">
        <v>129.51</v>
      </c>
      <c r="E50" s="141">
        <v>2499.42</v>
      </c>
      <c r="F50" s="141">
        <v>0</v>
      </c>
      <c r="G50" s="141">
        <v>0</v>
      </c>
      <c r="H50" s="141">
        <v>64168.26709999999</v>
      </c>
      <c r="I50" s="141">
        <v>9.1650000000000009</v>
      </c>
      <c r="J50" s="141">
        <v>0.05</v>
      </c>
      <c r="K50" s="141">
        <v>0.16</v>
      </c>
      <c r="L50" s="141">
        <v>0</v>
      </c>
      <c r="M50" s="141">
        <v>0</v>
      </c>
      <c r="N50" s="141">
        <v>9.2150000000000016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64191.942099999993</v>
      </c>
    </row>
    <row r="51" spans="1:21" s="146" customFormat="1" ht="38.25" customHeight="1" x14ac:dyDescent="0.4">
      <c r="A51" s="293" t="s">
        <v>119</v>
      </c>
      <c r="B51" s="293"/>
      <c r="C51" s="141">
        <v>111872.65889999999</v>
      </c>
      <c r="D51" s="141">
        <v>269.14699999999999</v>
      </c>
      <c r="E51" s="141">
        <v>4896.3620000000001</v>
      </c>
      <c r="F51" s="141">
        <v>8.5</v>
      </c>
      <c r="G51" s="141">
        <v>372.74999999999994</v>
      </c>
      <c r="H51" s="141">
        <v>112133.30589999999</v>
      </c>
      <c r="I51" s="141">
        <v>6898.6720000000005</v>
      </c>
      <c r="J51" s="141">
        <v>25.782999999999998</v>
      </c>
      <c r="K51" s="141">
        <v>803.03499999999997</v>
      </c>
      <c r="L51" s="141">
        <v>0</v>
      </c>
      <c r="M51" s="141">
        <v>0.02</v>
      </c>
      <c r="N51" s="141">
        <v>6924.4550000000008</v>
      </c>
      <c r="O51" s="141">
        <v>924.37699999999995</v>
      </c>
      <c r="P51" s="141">
        <v>0.32</v>
      </c>
      <c r="Q51" s="141">
        <v>15.645</v>
      </c>
      <c r="R51" s="141">
        <v>0</v>
      </c>
      <c r="S51" s="141">
        <v>0.05</v>
      </c>
      <c r="T51" s="141">
        <v>924.69699999999989</v>
      </c>
      <c r="U51" s="141">
        <v>119982.45789999998</v>
      </c>
    </row>
    <row r="52" spans="1:21" s="111" customFormat="1" ht="24" customHeight="1" x14ac:dyDescent="0.4">
      <c r="A52" s="115"/>
      <c r="B52" s="11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</row>
    <row r="53" spans="1:21" s="111" customFormat="1" ht="19.5" customHeight="1" x14ac:dyDescent="0.4">
      <c r="A53" s="115"/>
      <c r="B53" s="11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</row>
    <row r="54" spans="1:21" s="115" customFormat="1" ht="24.75" hidden="1" customHeight="1" x14ac:dyDescent="0.4">
      <c r="B54" s="175"/>
      <c r="C54" s="278" t="s">
        <v>54</v>
      </c>
      <c r="D54" s="278"/>
      <c r="E54" s="278"/>
      <c r="F54" s="278"/>
      <c r="G54" s="278"/>
      <c r="H54" s="118"/>
      <c r="I54" s="175"/>
      <c r="J54" s="175">
        <f>D51+J51+P51-F51-L51-R51</f>
        <v>286.75</v>
      </c>
      <c r="K54" s="175"/>
      <c r="L54" s="175"/>
      <c r="M54" s="175"/>
      <c r="N54" s="175"/>
      <c r="R54" s="175"/>
      <c r="U54" s="175"/>
    </row>
    <row r="55" spans="1:21" s="115" customFormat="1" ht="30" hidden="1" customHeight="1" x14ac:dyDescent="0.35">
      <c r="B55" s="175"/>
      <c r="C55" s="278" t="s">
        <v>55</v>
      </c>
      <c r="D55" s="278"/>
      <c r="E55" s="278"/>
      <c r="F55" s="278"/>
      <c r="G55" s="278"/>
      <c r="H55" s="119"/>
      <c r="I55" s="175"/>
      <c r="J55" s="175">
        <f>E51+K51+Q51-G51-M51-S51</f>
        <v>5342.2219999999998</v>
      </c>
      <c r="K55" s="175"/>
      <c r="L55" s="175"/>
      <c r="M55" s="175"/>
      <c r="N55" s="175"/>
      <c r="R55" s="175"/>
      <c r="T55" s="175"/>
    </row>
    <row r="56" spans="1:21" ht="33" hidden="1" customHeight="1" x14ac:dyDescent="0.5">
      <c r="C56" s="278" t="s">
        <v>56</v>
      </c>
      <c r="D56" s="278"/>
      <c r="E56" s="278"/>
      <c r="F56" s="278"/>
      <c r="G56" s="278"/>
      <c r="H56" s="119"/>
      <c r="I56" s="121"/>
      <c r="J56" s="175">
        <f>H51+N51+T51</f>
        <v>119982.45789999999</v>
      </c>
      <c r="K56" s="119"/>
      <c r="L56" s="119"/>
      <c r="M56" s="142" t="e">
        <f>#REF!+'March-2021'!J54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75"/>
      <c r="E57" s="175"/>
      <c r="F57" s="175"/>
      <c r="G57" s="175"/>
      <c r="H57" s="119"/>
      <c r="I57" s="121"/>
      <c r="J57" s="175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75"/>
      <c r="E58" s="175"/>
      <c r="F58" s="175"/>
      <c r="G58" s="175"/>
      <c r="H58" s="119"/>
      <c r="I58" s="121"/>
      <c r="J58" s="175"/>
      <c r="K58" s="119"/>
      <c r="L58" s="119"/>
      <c r="M58" s="142" t="e">
        <f>#REF!+'March-2021'!J54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87" t="s">
        <v>57</v>
      </c>
      <c r="C59" s="287"/>
      <c r="D59" s="287"/>
      <c r="E59" s="287"/>
      <c r="F59" s="287"/>
      <c r="G59" s="153"/>
      <c r="H59" s="154"/>
      <c r="I59" s="155"/>
      <c r="J59" s="288"/>
      <c r="K59" s="286"/>
      <c r="L59" s="286"/>
      <c r="M59" s="169" t="e">
        <f>#REF!+'March-2021'!J54</f>
        <v>#REF!</v>
      </c>
      <c r="N59" s="154"/>
      <c r="O59" s="154"/>
      <c r="P59" s="178"/>
      <c r="Q59" s="287" t="s">
        <v>58</v>
      </c>
      <c r="R59" s="287"/>
      <c r="S59" s="287"/>
      <c r="T59" s="287"/>
      <c r="U59" s="287"/>
    </row>
    <row r="60" spans="1:21" s="152" customFormat="1" ht="37.5" hidden="1" customHeight="1" x14ac:dyDescent="0.45">
      <c r="B60" s="287" t="s">
        <v>59</v>
      </c>
      <c r="C60" s="287"/>
      <c r="D60" s="287"/>
      <c r="E60" s="287"/>
      <c r="F60" s="287"/>
      <c r="G60" s="154"/>
      <c r="H60" s="153"/>
      <c r="I60" s="156"/>
      <c r="J60" s="157"/>
      <c r="K60" s="177"/>
      <c r="L60" s="157"/>
      <c r="M60" s="154"/>
      <c r="N60" s="153"/>
      <c r="O60" s="154"/>
      <c r="P60" s="178"/>
      <c r="Q60" s="287" t="s">
        <v>59</v>
      </c>
      <c r="R60" s="287"/>
      <c r="S60" s="287"/>
      <c r="T60" s="287"/>
      <c r="U60" s="287"/>
    </row>
    <row r="61" spans="1:21" s="152" customFormat="1" ht="37.5" hidden="1" customHeight="1" x14ac:dyDescent="0.45">
      <c r="I61" s="158"/>
      <c r="J61" s="286" t="s">
        <v>61</v>
      </c>
      <c r="K61" s="286"/>
      <c r="L61" s="286"/>
      <c r="M61" s="159" t="e">
        <f>#REF!+'March-2021'!J54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#REF!+'March-2021'!J54</f>
        <v>#REF!</v>
      </c>
      <c r="I62" s="158"/>
      <c r="J62" s="286" t="s">
        <v>62</v>
      </c>
      <c r="K62" s="286"/>
      <c r="L62" s="286"/>
      <c r="M62" s="159" t="e">
        <f>#REF!+'March-2021'!J54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view="pageBreakPreview" topLeftCell="A25" zoomScale="40" zoomScaleNormal="55" zoomScaleSheetLayoutView="40" workbookViewId="0">
      <selection activeCell="F10" sqref="F10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3" width="25.42578125" style="107" customWidth="1"/>
    <col min="14" max="14" width="28.7109375" style="107" customWidth="1"/>
    <col min="15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154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53" t="s">
        <v>122</v>
      </c>
      <c r="B4" s="355" t="s">
        <v>121</v>
      </c>
      <c r="C4" s="358" t="s">
        <v>131</v>
      </c>
      <c r="D4" s="359"/>
      <c r="E4" s="359"/>
      <c r="F4" s="359"/>
      <c r="G4" s="359"/>
      <c r="H4" s="359"/>
      <c r="I4" s="358" t="s">
        <v>146</v>
      </c>
      <c r="J4" s="359"/>
      <c r="K4" s="359"/>
      <c r="L4" s="359"/>
      <c r="M4" s="359"/>
      <c r="N4" s="359"/>
      <c r="O4" s="358" t="s">
        <v>147</v>
      </c>
      <c r="P4" s="359"/>
      <c r="Q4" s="359"/>
      <c r="R4" s="359"/>
      <c r="S4" s="359"/>
      <c r="T4" s="359"/>
      <c r="U4" s="253"/>
    </row>
    <row r="5" spans="1:21" s="108" customFormat="1" ht="54.75" customHeight="1" x14ac:dyDescent="0.25">
      <c r="A5" s="354"/>
      <c r="B5" s="356"/>
      <c r="C5" s="349" t="s">
        <v>6</v>
      </c>
      <c r="D5" s="351" t="s">
        <v>127</v>
      </c>
      <c r="E5" s="352"/>
      <c r="F5" s="351" t="s">
        <v>126</v>
      </c>
      <c r="G5" s="352"/>
      <c r="H5" s="349" t="s">
        <v>9</v>
      </c>
      <c r="I5" s="349" t="s">
        <v>6</v>
      </c>
      <c r="J5" s="351" t="s">
        <v>127</v>
      </c>
      <c r="K5" s="352"/>
      <c r="L5" s="351" t="s">
        <v>126</v>
      </c>
      <c r="M5" s="352"/>
      <c r="N5" s="349" t="s">
        <v>9</v>
      </c>
      <c r="O5" s="349" t="s">
        <v>6</v>
      </c>
      <c r="P5" s="351" t="s">
        <v>127</v>
      </c>
      <c r="Q5" s="352"/>
      <c r="R5" s="351" t="s">
        <v>126</v>
      </c>
      <c r="S5" s="352"/>
      <c r="T5" s="349" t="s">
        <v>9</v>
      </c>
      <c r="U5" s="355" t="s">
        <v>128</v>
      </c>
    </row>
    <row r="6" spans="1:21" s="108" customFormat="1" ht="38.25" customHeight="1" x14ac:dyDescent="0.25">
      <c r="A6" s="354"/>
      <c r="B6" s="357"/>
      <c r="C6" s="350"/>
      <c r="D6" s="231" t="s">
        <v>124</v>
      </c>
      <c r="E6" s="231" t="s">
        <v>125</v>
      </c>
      <c r="F6" s="231" t="s">
        <v>124</v>
      </c>
      <c r="G6" s="231" t="s">
        <v>125</v>
      </c>
      <c r="H6" s="350"/>
      <c r="I6" s="350"/>
      <c r="J6" s="231" t="s">
        <v>124</v>
      </c>
      <c r="K6" s="231" t="s">
        <v>125</v>
      </c>
      <c r="L6" s="231" t="s">
        <v>124</v>
      </c>
      <c r="M6" s="231" t="s">
        <v>125</v>
      </c>
      <c r="N6" s="350"/>
      <c r="O6" s="350"/>
      <c r="P6" s="231" t="s">
        <v>124</v>
      </c>
      <c r="Q6" s="231" t="s">
        <v>125</v>
      </c>
      <c r="R6" s="231" t="s">
        <v>124</v>
      </c>
      <c r="S6" s="231" t="s">
        <v>125</v>
      </c>
      <c r="T6" s="350"/>
      <c r="U6" s="357"/>
    </row>
    <row r="7" spans="1:21" ht="38.25" customHeight="1" x14ac:dyDescent="0.35">
      <c r="A7" s="230">
        <v>1</v>
      </c>
      <c r="B7" s="231" t="s">
        <v>78</v>
      </c>
      <c r="C7" s="139">
        <v>13.179999999999982</v>
      </c>
      <c r="D7" s="139">
        <v>0</v>
      </c>
      <c r="E7" s="139">
        <v>0</v>
      </c>
      <c r="F7" s="139">
        <v>6</v>
      </c>
      <c r="G7" s="139">
        <v>82.86</v>
      </c>
      <c r="H7" s="139">
        <v>7.179999999999982</v>
      </c>
      <c r="I7" s="139">
        <v>687.68299999999977</v>
      </c>
      <c r="J7" s="139">
        <v>2.4430000000000001</v>
      </c>
      <c r="K7" s="139">
        <v>105.90899999999999</v>
      </c>
      <c r="L7" s="139">
        <v>0</v>
      </c>
      <c r="M7" s="139">
        <v>0</v>
      </c>
      <c r="N7" s="139">
        <v>690.12599999999975</v>
      </c>
      <c r="O7" s="139">
        <v>8.436000000000007</v>
      </c>
      <c r="P7" s="139">
        <v>0</v>
      </c>
      <c r="Q7" s="139">
        <v>0</v>
      </c>
      <c r="R7" s="139">
        <v>0</v>
      </c>
      <c r="S7" s="139">
        <v>1.01</v>
      </c>
      <c r="T7" s="139">
        <v>8.436000000000007</v>
      </c>
      <c r="U7" s="139">
        <v>705.74199999999973</v>
      </c>
    </row>
    <row r="8" spans="1:21" ht="38.25" customHeight="1" x14ac:dyDescent="0.35">
      <c r="A8" s="230">
        <v>2</v>
      </c>
      <c r="B8" s="231" t="s">
        <v>79</v>
      </c>
      <c r="C8" s="139">
        <v>265.39</v>
      </c>
      <c r="D8" s="139">
        <v>0</v>
      </c>
      <c r="E8" s="139">
        <v>0</v>
      </c>
      <c r="F8" s="139">
        <v>0</v>
      </c>
      <c r="G8" s="139">
        <v>0</v>
      </c>
      <c r="H8" s="139">
        <v>265.39</v>
      </c>
      <c r="I8" s="139">
        <v>352.58500000000004</v>
      </c>
      <c r="J8" s="139">
        <v>12.795</v>
      </c>
      <c r="K8" s="139">
        <v>53.400000000000006</v>
      </c>
      <c r="L8" s="139">
        <v>0</v>
      </c>
      <c r="M8" s="139">
        <v>0</v>
      </c>
      <c r="N8" s="139">
        <v>365.38000000000005</v>
      </c>
      <c r="O8" s="139">
        <v>66.290000000000006</v>
      </c>
      <c r="P8" s="139">
        <v>0</v>
      </c>
      <c r="Q8" s="139">
        <v>0</v>
      </c>
      <c r="R8" s="139">
        <v>0</v>
      </c>
      <c r="S8" s="139">
        <v>0</v>
      </c>
      <c r="T8" s="139">
        <v>66.290000000000006</v>
      </c>
      <c r="U8" s="139">
        <v>697.06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863.69800000000009</v>
      </c>
      <c r="J9" s="139">
        <v>8.02</v>
      </c>
      <c r="K9" s="139">
        <v>115.16999999999999</v>
      </c>
      <c r="L9" s="139">
        <v>0</v>
      </c>
      <c r="M9" s="139">
        <v>0</v>
      </c>
      <c r="N9" s="139">
        <v>871.71800000000007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1125.6180000000002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350.46999999999991</v>
      </c>
      <c r="J10" s="139">
        <v>0.79</v>
      </c>
      <c r="K10" s="139">
        <v>8.8850000000000016</v>
      </c>
      <c r="L10" s="139">
        <v>0</v>
      </c>
      <c r="M10" s="139">
        <v>0</v>
      </c>
      <c r="N10" s="139">
        <v>351.25999999999993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351.45999999999992</v>
      </c>
    </row>
    <row r="11" spans="1:21" s="111" customFormat="1" ht="38.25" customHeight="1" x14ac:dyDescent="0.4">
      <c r="A11" s="308" t="s">
        <v>82</v>
      </c>
      <c r="B11" s="309"/>
      <c r="C11" s="141">
        <v>487.73</v>
      </c>
      <c r="D11" s="141">
        <v>0</v>
      </c>
      <c r="E11" s="141">
        <v>0</v>
      </c>
      <c r="F11" s="141">
        <v>6</v>
      </c>
      <c r="G11" s="141">
        <v>82.86</v>
      </c>
      <c r="H11" s="141">
        <v>481.73</v>
      </c>
      <c r="I11" s="141">
        <v>2254.4359999999997</v>
      </c>
      <c r="J11" s="141">
        <v>24.047999999999998</v>
      </c>
      <c r="K11" s="141">
        <v>283.36399999999998</v>
      </c>
      <c r="L11" s="141">
        <v>0</v>
      </c>
      <c r="M11" s="141">
        <v>0</v>
      </c>
      <c r="N11" s="141">
        <v>2278.4839999999999</v>
      </c>
      <c r="O11" s="141">
        <v>119.66600000000001</v>
      </c>
      <c r="P11" s="141">
        <v>0</v>
      </c>
      <c r="Q11" s="141">
        <v>0</v>
      </c>
      <c r="R11" s="141">
        <v>0</v>
      </c>
      <c r="S11" s="141">
        <v>1.01</v>
      </c>
      <c r="T11" s="141">
        <v>119.66600000000001</v>
      </c>
      <c r="U11" s="141">
        <v>2879.88</v>
      </c>
    </row>
    <row r="12" spans="1:21" ht="38.25" customHeight="1" x14ac:dyDescent="0.35">
      <c r="A12" s="171">
        <v>4</v>
      </c>
      <c r="B12" s="231" t="s">
        <v>83</v>
      </c>
      <c r="C12" s="139">
        <v>220.19999999999959</v>
      </c>
      <c r="D12" s="139">
        <v>0</v>
      </c>
      <c r="E12" s="139">
        <v>0</v>
      </c>
      <c r="F12" s="139">
        <v>78.2</v>
      </c>
      <c r="G12" s="139">
        <v>213.31</v>
      </c>
      <c r="H12" s="139">
        <v>141.9999999999996</v>
      </c>
      <c r="I12" s="139">
        <v>1129.5149999999999</v>
      </c>
      <c r="J12" s="221">
        <v>19.809999999999999</v>
      </c>
      <c r="K12" s="139">
        <v>238.57999999999998</v>
      </c>
      <c r="L12" s="139">
        <v>0</v>
      </c>
      <c r="M12" s="139">
        <v>0</v>
      </c>
      <c r="N12" s="139">
        <v>1149.3249999999998</v>
      </c>
      <c r="O12" s="139">
        <v>24.95000000000001</v>
      </c>
      <c r="P12" s="139">
        <v>0</v>
      </c>
      <c r="Q12" s="139">
        <v>0</v>
      </c>
      <c r="R12" s="139">
        <v>2.11</v>
      </c>
      <c r="S12" s="139">
        <v>14.01</v>
      </c>
      <c r="T12" s="139">
        <v>22.840000000000011</v>
      </c>
      <c r="U12" s="139">
        <v>1314.1649999999993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v>0</v>
      </c>
      <c r="F13" s="139">
        <v>0</v>
      </c>
      <c r="G13" s="139">
        <v>0</v>
      </c>
      <c r="H13" s="139">
        <v>312.23000000000013</v>
      </c>
      <c r="I13" s="139">
        <v>534.54200000000014</v>
      </c>
      <c r="J13" s="221">
        <v>2.75</v>
      </c>
      <c r="K13" s="139">
        <v>9.4600000000000009</v>
      </c>
      <c r="L13" s="139">
        <v>0</v>
      </c>
      <c r="M13" s="139">
        <v>0.7</v>
      </c>
      <c r="N13" s="139">
        <v>537.29200000000014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917.91200000000026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v>0</v>
      </c>
      <c r="F14" s="139">
        <v>0</v>
      </c>
      <c r="G14" s="139">
        <v>0</v>
      </c>
      <c r="H14" s="139">
        <v>1216.4399999999994</v>
      </c>
      <c r="I14" s="139">
        <v>885.93800000000022</v>
      </c>
      <c r="J14" s="221">
        <v>3.79</v>
      </c>
      <c r="K14" s="139">
        <v>24.94</v>
      </c>
      <c r="L14" s="139">
        <v>0</v>
      </c>
      <c r="M14" s="139">
        <v>0</v>
      </c>
      <c r="N14" s="139">
        <v>889.72800000000018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2167.4979999999996</v>
      </c>
    </row>
    <row r="15" spans="1:21" s="111" customFormat="1" ht="38.25" customHeight="1" x14ac:dyDescent="0.4">
      <c r="A15" s="308" t="s">
        <v>86</v>
      </c>
      <c r="B15" s="309"/>
      <c r="C15" s="141">
        <v>1748.869999999999</v>
      </c>
      <c r="D15" s="141">
        <v>0</v>
      </c>
      <c r="E15" s="141">
        <v>0</v>
      </c>
      <c r="F15" s="141">
        <v>78.2</v>
      </c>
      <c r="G15" s="141">
        <v>213.31</v>
      </c>
      <c r="H15" s="141">
        <v>1670.6699999999992</v>
      </c>
      <c r="I15" s="141">
        <v>2549.9950000000003</v>
      </c>
      <c r="J15" s="141">
        <v>26.349999999999998</v>
      </c>
      <c r="K15" s="141">
        <v>272.98</v>
      </c>
      <c r="L15" s="141">
        <v>0</v>
      </c>
      <c r="M15" s="141">
        <v>0.7</v>
      </c>
      <c r="N15" s="141">
        <v>2576.3450000000003</v>
      </c>
      <c r="O15" s="141">
        <v>154.66999999999999</v>
      </c>
      <c r="P15" s="141">
        <v>0</v>
      </c>
      <c r="Q15" s="141">
        <v>0</v>
      </c>
      <c r="R15" s="141">
        <v>2.11</v>
      </c>
      <c r="S15" s="141">
        <v>14.01</v>
      </c>
      <c r="T15" s="141">
        <v>152.56</v>
      </c>
      <c r="U15" s="141">
        <v>4399.5749999999989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795.50400000000036</v>
      </c>
      <c r="D16" s="139">
        <v>0.57999999999999996</v>
      </c>
      <c r="E16" s="139">
        <v>5.34</v>
      </c>
      <c r="F16" s="139">
        <v>5.22</v>
      </c>
      <c r="G16" s="139">
        <v>208.32</v>
      </c>
      <c r="H16" s="139">
        <v>790.86400000000037</v>
      </c>
      <c r="I16" s="139">
        <v>568.06600000000003</v>
      </c>
      <c r="J16" s="139">
        <v>4.21</v>
      </c>
      <c r="K16" s="139">
        <v>273.22999999999996</v>
      </c>
      <c r="L16" s="139">
        <v>0</v>
      </c>
      <c r="M16" s="139">
        <v>0</v>
      </c>
      <c r="N16" s="139">
        <v>572.27600000000007</v>
      </c>
      <c r="O16" s="139">
        <v>177.41200000000003</v>
      </c>
      <c r="P16" s="139">
        <v>0</v>
      </c>
      <c r="Q16" s="139">
        <v>0</v>
      </c>
      <c r="R16" s="139">
        <v>0</v>
      </c>
      <c r="S16" s="139">
        <v>0</v>
      </c>
      <c r="T16" s="139">
        <v>177.41200000000003</v>
      </c>
      <c r="U16" s="139">
        <v>1540.5520000000004</v>
      </c>
    </row>
    <row r="17" spans="1:21" ht="38.25" customHeight="1" x14ac:dyDescent="0.35">
      <c r="A17" s="171">
        <v>9</v>
      </c>
      <c r="B17" s="231" t="s">
        <v>120</v>
      </c>
      <c r="C17" s="139">
        <v>2.6759999999999478</v>
      </c>
      <c r="D17" s="139">
        <v>0</v>
      </c>
      <c r="E17" s="139">
        <v>0</v>
      </c>
      <c r="F17" s="139">
        <v>0</v>
      </c>
      <c r="G17" s="139">
        <v>3.74</v>
      </c>
      <c r="H17" s="139">
        <v>2.6759999999999478</v>
      </c>
      <c r="I17" s="139">
        <v>572.36</v>
      </c>
      <c r="J17" s="139">
        <v>4.9000000000000004</v>
      </c>
      <c r="K17" s="139">
        <v>65.510000000000005</v>
      </c>
      <c r="L17" s="139">
        <v>0</v>
      </c>
      <c r="M17" s="139">
        <v>0</v>
      </c>
      <c r="N17" s="139">
        <v>577.26</v>
      </c>
      <c r="O17" s="139">
        <v>1.9700000000000002</v>
      </c>
      <c r="P17" s="139">
        <v>0</v>
      </c>
      <c r="Q17" s="139">
        <v>1.3399999999999999</v>
      </c>
      <c r="R17" s="139">
        <v>0</v>
      </c>
      <c r="S17" s="139">
        <v>5.7</v>
      </c>
      <c r="T17" s="139">
        <v>1.9700000000000002</v>
      </c>
      <c r="U17" s="139">
        <v>581.90599999999995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136.87600000000012</v>
      </c>
      <c r="D18" s="139">
        <v>0.15</v>
      </c>
      <c r="E18" s="139">
        <v>1.25</v>
      </c>
      <c r="F18" s="139">
        <v>0</v>
      </c>
      <c r="G18" s="139">
        <v>0</v>
      </c>
      <c r="H18" s="139">
        <v>137.02600000000012</v>
      </c>
      <c r="I18" s="139">
        <v>493.077</v>
      </c>
      <c r="J18" s="139">
        <v>0.75</v>
      </c>
      <c r="K18" s="139">
        <v>6.7600000000000007</v>
      </c>
      <c r="L18" s="139">
        <v>0.34</v>
      </c>
      <c r="M18" s="139">
        <v>0.34</v>
      </c>
      <c r="N18" s="139">
        <v>493.48700000000002</v>
      </c>
      <c r="O18" s="139">
        <v>39.469999999999992</v>
      </c>
      <c r="P18" s="139">
        <v>0.3</v>
      </c>
      <c r="Q18" s="139">
        <v>0.89999999999999991</v>
      </c>
      <c r="R18" s="139">
        <v>0</v>
      </c>
      <c r="S18" s="139">
        <v>0</v>
      </c>
      <c r="T18" s="139">
        <v>39.769999999999989</v>
      </c>
      <c r="U18" s="139">
        <v>670.28300000000013</v>
      </c>
    </row>
    <row r="19" spans="1:21" s="111" customFormat="1" ht="38.25" customHeight="1" x14ac:dyDescent="0.4">
      <c r="A19" s="308" t="s">
        <v>89</v>
      </c>
      <c r="B19" s="309"/>
      <c r="C19" s="141">
        <v>935.05600000000038</v>
      </c>
      <c r="D19" s="141">
        <v>0.73</v>
      </c>
      <c r="E19" s="141">
        <v>6.59</v>
      </c>
      <c r="F19" s="141">
        <v>5.22</v>
      </c>
      <c r="G19" s="141">
        <v>212.06</v>
      </c>
      <c r="H19" s="141">
        <v>930.56600000000049</v>
      </c>
      <c r="I19" s="141">
        <v>1633.5029999999999</v>
      </c>
      <c r="J19" s="141">
        <v>9.86</v>
      </c>
      <c r="K19" s="141">
        <v>345.49999999999994</v>
      </c>
      <c r="L19" s="141">
        <v>0.34</v>
      </c>
      <c r="M19" s="141">
        <v>0.34</v>
      </c>
      <c r="N19" s="141">
        <v>1643.0230000000001</v>
      </c>
      <c r="O19" s="141">
        <v>218.85200000000003</v>
      </c>
      <c r="P19" s="141">
        <v>0.3</v>
      </c>
      <c r="Q19" s="141">
        <v>2.2399999999999998</v>
      </c>
      <c r="R19" s="141">
        <v>0</v>
      </c>
      <c r="S19" s="141">
        <v>5.7</v>
      </c>
      <c r="T19" s="141">
        <v>219.15200000000002</v>
      </c>
      <c r="U19" s="141">
        <v>2792.7410000000009</v>
      </c>
    </row>
    <row r="20" spans="1:21" ht="38.25" customHeight="1" x14ac:dyDescent="0.35">
      <c r="A20" s="171">
        <v>8</v>
      </c>
      <c r="B20" s="231" t="s">
        <v>91</v>
      </c>
      <c r="C20" s="139">
        <v>607.27999999999986</v>
      </c>
      <c r="D20" s="139">
        <v>0</v>
      </c>
      <c r="E20" s="139">
        <v>1.62</v>
      </c>
      <c r="F20" s="139">
        <v>0</v>
      </c>
      <c r="G20" s="139">
        <v>24.91</v>
      </c>
      <c r="H20" s="139">
        <v>607.27999999999986</v>
      </c>
      <c r="I20" s="139">
        <v>726.06800000000021</v>
      </c>
      <c r="J20" s="139">
        <v>3.12</v>
      </c>
      <c r="K20" s="139">
        <v>331.04</v>
      </c>
      <c r="L20" s="139">
        <v>0</v>
      </c>
      <c r="M20" s="139">
        <v>1.04</v>
      </c>
      <c r="N20" s="139">
        <v>729.18800000000022</v>
      </c>
      <c r="O20" s="139">
        <v>37.580000000000005</v>
      </c>
      <c r="P20" s="139">
        <v>0</v>
      </c>
      <c r="Q20" s="139">
        <v>0</v>
      </c>
      <c r="R20" s="139">
        <v>0</v>
      </c>
      <c r="S20" s="139">
        <v>2.77</v>
      </c>
      <c r="T20" s="139">
        <v>37.580000000000005</v>
      </c>
      <c r="U20" s="139">
        <v>1374.048</v>
      </c>
    </row>
    <row r="21" spans="1:21" ht="38.25" customHeight="1" x14ac:dyDescent="0.35">
      <c r="A21" s="171">
        <v>9</v>
      </c>
      <c r="B21" s="231" t="s">
        <v>90</v>
      </c>
      <c r="C21" s="139">
        <v>22.51</v>
      </c>
      <c r="D21" s="139">
        <v>0</v>
      </c>
      <c r="E21" s="139">
        <v>0</v>
      </c>
      <c r="F21" s="139">
        <v>0</v>
      </c>
      <c r="G21" s="139">
        <v>0</v>
      </c>
      <c r="H21" s="139">
        <v>22.51</v>
      </c>
      <c r="I21" s="139">
        <v>420.62700000000007</v>
      </c>
      <c r="J21" s="139">
        <v>1.97</v>
      </c>
      <c r="K21" s="139">
        <v>24.48</v>
      </c>
      <c r="L21" s="139">
        <v>0</v>
      </c>
      <c r="M21" s="139">
        <v>0</v>
      </c>
      <c r="N21" s="139">
        <v>422.59700000000009</v>
      </c>
      <c r="O21" s="139">
        <v>19.489999999999998</v>
      </c>
      <c r="P21" s="139">
        <v>0</v>
      </c>
      <c r="Q21" s="139">
        <v>0.12</v>
      </c>
      <c r="R21" s="139">
        <v>0</v>
      </c>
      <c r="S21" s="139">
        <v>0</v>
      </c>
      <c r="T21" s="139">
        <v>19.489999999999998</v>
      </c>
      <c r="U21" s="139">
        <v>464.59700000000009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v>0</v>
      </c>
      <c r="F22" s="139">
        <v>0</v>
      </c>
      <c r="G22" s="139">
        <v>0</v>
      </c>
      <c r="H22" s="139">
        <v>22.430000000000021</v>
      </c>
      <c r="I22" s="139">
        <v>695.15000000000009</v>
      </c>
      <c r="J22" s="139">
        <v>0.1</v>
      </c>
      <c r="K22" s="139">
        <v>6.3599999999999994</v>
      </c>
      <c r="L22" s="139">
        <v>0</v>
      </c>
      <c r="M22" s="139">
        <v>0.08</v>
      </c>
      <c r="N22" s="139">
        <v>695.25000000000011</v>
      </c>
      <c r="O22" s="139">
        <v>0.60000000000000098</v>
      </c>
      <c r="P22" s="139">
        <v>0</v>
      </c>
      <c r="Q22" s="139">
        <v>0</v>
      </c>
      <c r="R22" s="139">
        <v>0</v>
      </c>
      <c r="S22" s="139">
        <v>0</v>
      </c>
      <c r="T22" s="139">
        <v>0.60000000000000098</v>
      </c>
      <c r="U22" s="139">
        <v>718.2800000000002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430.64</v>
      </c>
      <c r="D23" s="139">
        <v>0</v>
      </c>
      <c r="E23" s="139">
        <v>3.4</v>
      </c>
      <c r="F23" s="139">
        <v>0</v>
      </c>
      <c r="G23" s="139">
        <v>0</v>
      </c>
      <c r="H23" s="139">
        <v>430.64</v>
      </c>
      <c r="I23" s="139">
        <v>123.63500000000001</v>
      </c>
      <c r="J23" s="139">
        <v>1.69</v>
      </c>
      <c r="K23" s="139">
        <v>23.44</v>
      </c>
      <c r="L23" s="139">
        <v>0</v>
      </c>
      <c r="M23" s="139">
        <v>0</v>
      </c>
      <c r="N23" s="139">
        <v>125.325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578.46500000000003</v>
      </c>
    </row>
    <row r="24" spans="1:21" s="111" customFormat="1" ht="38.25" customHeight="1" x14ac:dyDescent="0.4">
      <c r="A24" s="313" t="s">
        <v>94</v>
      </c>
      <c r="B24" s="313"/>
      <c r="C24" s="141">
        <v>1082.8599999999999</v>
      </c>
      <c r="D24" s="141">
        <v>0</v>
      </c>
      <c r="E24" s="141">
        <v>5.0199999999999996</v>
      </c>
      <c r="F24" s="141">
        <v>0</v>
      </c>
      <c r="G24" s="141">
        <v>24.91</v>
      </c>
      <c r="H24" s="141">
        <v>1082.8599999999999</v>
      </c>
      <c r="I24" s="141">
        <v>1965.4800000000002</v>
      </c>
      <c r="J24" s="141">
        <v>6.879999999999999</v>
      </c>
      <c r="K24" s="141">
        <v>385.32000000000005</v>
      </c>
      <c r="L24" s="141">
        <v>0</v>
      </c>
      <c r="M24" s="141">
        <v>1.1200000000000001</v>
      </c>
      <c r="N24" s="141">
        <v>1972.3600000000004</v>
      </c>
      <c r="O24" s="141">
        <v>80.170000000000016</v>
      </c>
      <c r="P24" s="141">
        <v>0</v>
      </c>
      <c r="Q24" s="141">
        <v>0.12</v>
      </c>
      <c r="R24" s="141">
        <v>0</v>
      </c>
      <c r="S24" s="141">
        <v>2.77</v>
      </c>
      <c r="T24" s="141">
        <v>80.170000000000016</v>
      </c>
      <c r="U24" s="141">
        <v>3135.3900000000003</v>
      </c>
    </row>
    <row r="25" spans="1:21" s="145" customFormat="1" ht="38.25" customHeight="1" x14ac:dyDescent="0.4">
      <c r="A25" s="308" t="s">
        <v>95</v>
      </c>
      <c r="B25" s="309"/>
      <c r="C25" s="141">
        <v>4254.5159999999996</v>
      </c>
      <c r="D25" s="141">
        <v>0.73</v>
      </c>
      <c r="E25" s="141">
        <v>11.61</v>
      </c>
      <c r="F25" s="141">
        <v>89.42</v>
      </c>
      <c r="G25" s="141">
        <v>533.14</v>
      </c>
      <c r="H25" s="141">
        <v>4165.8259999999991</v>
      </c>
      <c r="I25" s="141">
        <v>8403.4140000000007</v>
      </c>
      <c r="J25" s="141">
        <v>67.137999999999991</v>
      </c>
      <c r="K25" s="141">
        <v>1287.164</v>
      </c>
      <c r="L25" s="141">
        <v>0.34</v>
      </c>
      <c r="M25" s="141">
        <v>2.16</v>
      </c>
      <c r="N25" s="141">
        <v>8470.2120000000014</v>
      </c>
      <c r="O25" s="141">
        <v>573.35800000000006</v>
      </c>
      <c r="P25" s="141">
        <v>0.3</v>
      </c>
      <c r="Q25" s="141">
        <v>2.36</v>
      </c>
      <c r="R25" s="141">
        <v>2.11</v>
      </c>
      <c r="S25" s="141">
        <v>23.490000000000002</v>
      </c>
      <c r="T25" s="141">
        <v>571.548</v>
      </c>
      <c r="U25" s="141">
        <v>13207.585999999999</v>
      </c>
    </row>
    <row r="26" spans="1:21" ht="38.25" customHeight="1" x14ac:dyDescent="0.35">
      <c r="A26" s="171">
        <v>15</v>
      </c>
      <c r="B26" s="231" t="s">
        <v>96</v>
      </c>
      <c r="C26" s="139">
        <v>1592.26</v>
      </c>
      <c r="D26" s="139">
        <v>5</v>
      </c>
      <c r="E26" s="139">
        <v>44.279999999999994</v>
      </c>
      <c r="F26" s="139">
        <v>0</v>
      </c>
      <c r="G26" s="139">
        <v>0</v>
      </c>
      <c r="H26" s="139">
        <v>1597.26</v>
      </c>
      <c r="I26" s="139">
        <v>68.349999999999994</v>
      </c>
      <c r="J26" s="139">
        <v>16.3</v>
      </c>
      <c r="K26" s="139">
        <v>17.32</v>
      </c>
      <c r="L26" s="139">
        <v>0</v>
      </c>
      <c r="M26" s="139">
        <v>0</v>
      </c>
      <c r="N26" s="139">
        <v>84.649999999999991</v>
      </c>
      <c r="O26" s="139">
        <v>16.11</v>
      </c>
      <c r="P26" s="139">
        <v>0</v>
      </c>
      <c r="Q26" s="139">
        <v>0</v>
      </c>
      <c r="R26" s="139">
        <v>0</v>
      </c>
      <c r="S26" s="139">
        <v>0</v>
      </c>
      <c r="T26" s="139">
        <v>16.11</v>
      </c>
      <c r="U26" s="139">
        <v>1698.02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5658.7550000000037</v>
      </c>
      <c r="D27" s="139">
        <v>7.14</v>
      </c>
      <c r="E27" s="139">
        <v>89.19</v>
      </c>
      <c r="F27" s="139">
        <v>0</v>
      </c>
      <c r="G27" s="139">
        <v>0</v>
      </c>
      <c r="H27" s="139">
        <v>5665.8950000000041</v>
      </c>
      <c r="I27" s="139">
        <v>604.76799999999992</v>
      </c>
      <c r="J27" s="139">
        <v>5.21</v>
      </c>
      <c r="K27" s="139">
        <v>15.790000000000003</v>
      </c>
      <c r="L27" s="139">
        <v>0</v>
      </c>
      <c r="M27" s="139">
        <v>0</v>
      </c>
      <c r="N27" s="139">
        <v>609.97799999999995</v>
      </c>
      <c r="O27" s="139">
        <v>33.590000000000003</v>
      </c>
      <c r="P27" s="139">
        <v>0</v>
      </c>
      <c r="Q27" s="139">
        <v>0.1</v>
      </c>
      <c r="R27" s="139">
        <v>0</v>
      </c>
      <c r="S27" s="139">
        <v>0</v>
      </c>
      <c r="T27" s="139">
        <v>33.590000000000003</v>
      </c>
      <c r="U27" s="139">
        <v>6309.4630000000043</v>
      </c>
    </row>
    <row r="28" spans="1:21" s="111" customFormat="1" ht="38.25" customHeight="1" x14ac:dyDescent="0.4">
      <c r="A28" s="313" t="s">
        <v>98</v>
      </c>
      <c r="B28" s="313"/>
      <c r="C28" s="141">
        <v>7251.015000000004</v>
      </c>
      <c r="D28" s="141">
        <v>12.14</v>
      </c>
      <c r="E28" s="141">
        <v>133.47</v>
      </c>
      <c r="F28" s="141">
        <v>0</v>
      </c>
      <c r="G28" s="141">
        <v>0</v>
      </c>
      <c r="H28" s="141">
        <v>7263.1550000000043</v>
      </c>
      <c r="I28" s="141">
        <v>673.11799999999994</v>
      </c>
      <c r="J28" s="141">
        <v>21.51</v>
      </c>
      <c r="K28" s="141">
        <v>33.11</v>
      </c>
      <c r="L28" s="141">
        <v>0</v>
      </c>
      <c r="M28" s="141">
        <v>0</v>
      </c>
      <c r="N28" s="141">
        <v>694.62799999999993</v>
      </c>
      <c r="O28" s="141">
        <v>49.7</v>
      </c>
      <c r="P28" s="141">
        <v>0</v>
      </c>
      <c r="Q28" s="141">
        <v>0.1</v>
      </c>
      <c r="R28" s="141">
        <v>0</v>
      </c>
      <c r="S28" s="141">
        <v>0</v>
      </c>
      <c r="T28" s="141">
        <v>49.7</v>
      </c>
      <c r="U28" s="141">
        <v>8007.4830000000038</v>
      </c>
    </row>
    <row r="29" spans="1:21" ht="38.25" customHeight="1" x14ac:dyDescent="0.35">
      <c r="A29" s="171">
        <v>17</v>
      </c>
      <c r="B29" s="231" t="s">
        <v>99</v>
      </c>
      <c r="C29" s="139">
        <v>4779.4880000000012</v>
      </c>
      <c r="D29" s="139">
        <v>46.83</v>
      </c>
      <c r="E29" s="139">
        <v>167.63</v>
      </c>
      <c r="F29" s="139">
        <v>0</v>
      </c>
      <c r="G29" s="139">
        <v>0</v>
      </c>
      <c r="H29" s="139">
        <v>4826.3180000000011</v>
      </c>
      <c r="I29" s="139">
        <v>120.84000000000002</v>
      </c>
      <c r="J29" s="139">
        <v>0.02</v>
      </c>
      <c r="K29" s="139">
        <v>1.4700000000000002</v>
      </c>
      <c r="L29" s="139">
        <v>0</v>
      </c>
      <c r="M29" s="139">
        <v>0</v>
      </c>
      <c r="N29" s="139">
        <v>120.86000000000001</v>
      </c>
      <c r="O29" s="139">
        <v>34.52000000000001</v>
      </c>
      <c r="P29" s="139">
        <v>0</v>
      </c>
      <c r="Q29" s="139">
        <v>0</v>
      </c>
      <c r="R29" s="139">
        <v>0</v>
      </c>
      <c r="S29" s="139">
        <v>23.2</v>
      </c>
      <c r="T29" s="139">
        <v>34.52000000000001</v>
      </c>
      <c r="U29" s="139">
        <v>4981.6980000000012</v>
      </c>
    </row>
    <row r="30" spans="1:21" ht="38.25" customHeight="1" x14ac:dyDescent="0.35">
      <c r="A30" s="171">
        <v>18</v>
      </c>
      <c r="B30" s="231" t="s">
        <v>100</v>
      </c>
      <c r="C30" s="139">
        <v>3660.2699999999995</v>
      </c>
      <c r="D30" s="139">
        <v>3.08</v>
      </c>
      <c r="E30" s="139">
        <v>51.010000000000012</v>
      </c>
      <c r="F30" s="139">
        <v>0</v>
      </c>
      <c r="G30" s="139">
        <v>0</v>
      </c>
      <c r="H30" s="139">
        <v>3663.3499999999995</v>
      </c>
      <c r="I30" s="139">
        <v>110.587</v>
      </c>
      <c r="J30" s="139">
        <v>88</v>
      </c>
      <c r="K30" s="139">
        <v>88</v>
      </c>
      <c r="L30" s="139">
        <v>0</v>
      </c>
      <c r="M30" s="139">
        <v>0</v>
      </c>
      <c r="N30" s="139">
        <v>198.58699999999999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3885.1869999999994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4683.8300000000008</v>
      </c>
      <c r="D31" s="139">
        <v>8.6869999999999994</v>
      </c>
      <c r="E31" s="139">
        <v>26.938000000000002</v>
      </c>
      <c r="F31" s="139">
        <v>0</v>
      </c>
      <c r="G31" s="139">
        <v>0</v>
      </c>
      <c r="H31" s="139">
        <v>4692.5170000000007</v>
      </c>
      <c r="I31" s="139">
        <v>107.63000000000002</v>
      </c>
      <c r="J31" s="139">
        <v>0</v>
      </c>
      <c r="K31" s="139">
        <v>0</v>
      </c>
      <c r="L31" s="139">
        <v>0</v>
      </c>
      <c r="M31" s="139">
        <v>0</v>
      </c>
      <c r="N31" s="139">
        <v>107.63000000000002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4814.9970000000012</v>
      </c>
    </row>
    <row r="32" spans="1:21" ht="38.25" customHeight="1" x14ac:dyDescent="0.35">
      <c r="A32" s="171">
        <v>20</v>
      </c>
      <c r="B32" s="231" t="s">
        <v>102</v>
      </c>
      <c r="C32" s="139">
        <v>2350.5457999999994</v>
      </c>
      <c r="D32" s="139">
        <v>1.76</v>
      </c>
      <c r="E32" s="139">
        <v>19.170000000000002</v>
      </c>
      <c r="F32" s="139">
        <v>0</v>
      </c>
      <c r="G32" s="139">
        <v>9.7200000000000006</v>
      </c>
      <c r="H32" s="139">
        <v>2352.3057999999996</v>
      </c>
      <c r="I32" s="139">
        <v>87.296000000000006</v>
      </c>
      <c r="J32" s="139">
        <v>0.3</v>
      </c>
      <c r="K32" s="139">
        <v>4.83</v>
      </c>
      <c r="L32" s="139">
        <v>0</v>
      </c>
      <c r="M32" s="139">
        <v>0</v>
      </c>
      <c r="N32" s="139">
        <v>87.596000000000004</v>
      </c>
      <c r="O32" s="139">
        <v>67.551999999999992</v>
      </c>
      <c r="P32" s="139">
        <v>0</v>
      </c>
      <c r="Q32" s="139">
        <v>0</v>
      </c>
      <c r="R32" s="139">
        <v>0</v>
      </c>
      <c r="S32" s="139">
        <v>0</v>
      </c>
      <c r="T32" s="139">
        <v>67.551999999999992</v>
      </c>
      <c r="U32" s="139">
        <v>2507.4537999999998</v>
      </c>
    </row>
    <row r="33" spans="1:21" s="111" customFormat="1" ht="38.25" customHeight="1" x14ac:dyDescent="0.4">
      <c r="A33" s="313" t="s">
        <v>99</v>
      </c>
      <c r="B33" s="313"/>
      <c r="C33" s="141">
        <v>15474.133800000003</v>
      </c>
      <c r="D33" s="141">
        <v>60.356999999999992</v>
      </c>
      <c r="E33" s="141">
        <v>264.74800000000005</v>
      </c>
      <c r="F33" s="141">
        <v>0</v>
      </c>
      <c r="G33" s="141">
        <v>9.7200000000000006</v>
      </c>
      <c r="H33" s="141">
        <v>15534.490800000001</v>
      </c>
      <c r="I33" s="141">
        <v>426.35300000000001</v>
      </c>
      <c r="J33" s="141">
        <v>88.32</v>
      </c>
      <c r="K33" s="141">
        <v>94.3</v>
      </c>
      <c r="L33" s="141">
        <v>0</v>
      </c>
      <c r="M33" s="141">
        <v>0</v>
      </c>
      <c r="N33" s="141">
        <v>514.673</v>
      </c>
      <c r="O33" s="141">
        <v>140.172</v>
      </c>
      <c r="P33" s="141">
        <v>0</v>
      </c>
      <c r="Q33" s="141">
        <v>0</v>
      </c>
      <c r="R33" s="141">
        <v>0</v>
      </c>
      <c r="S33" s="141">
        <v>23.2</v>
      </c>
      <c r="T33" s="141">
        <v>140.172</v>
      </c>
      <c r="U33" s="141">
        <v>16189.335800000001</v>
      </c>
    </row>
    <row r="34" spans="1:21" ht="38.25" customHeight="1" x14ac:dyDescent="0.35">
      <c r="A34" s="171">
        <v>21</v>
      </c>
      <c r="B34" s="231" t="s">
        <v>103</v>
      </c>
      <c r="C34" s="139">
        <v>4568.6900000000005</v>
      </c>
      <c r="D34" s="139">
        <v>4.17</v>
      </c>
      <c r="E34" s="139">
        <v>133.75999999999996</v>
      </c>
      <c r="F34" s="139">
        <v>9.89</v>
      </c>
      <c r="G34" s="139">
        <v>9.89</v>
      </c>
      <c r="H34" s="139">
        <v>4562.97</v>
      </c>
      <c r="I34" s="139">
        <v>85.029999999999987</v>
      </c>
      <c r="J34" s="139">
        <v>21.76</v>
      </c>
      <c r="K34" s="139">
        <v>106.78999999999999</v>
      </c>
      <c r="L34" s="139">
        <v>0</v>
      </c>
      <c r="M34" s="139">
        <v>0</v>
      </c>
      <c r="N34" s="139">
        <v>106.78999999999999</v>
      </c>
      <c r="O34" s="139">
        <v>72.7</v>
      </c>
      <c r="P34" s="139">
        <v>0</v>
      </c>
      <c r="Q34" s="139">
        <v>72.7</v>
      </c>
      <c r="R34" s="139">
        <v>0</v>
      </c>
      <c r="S34" s="139">
        <v>0</v>
      </c>
      <c r="T34" s="139">
        <v>72.7</v>
      </c>
      <c r="U34" s="139">
        <v>4742.46</v>
      </c>
    </row>
    <row r="35" spans="1:21" ht="38.25" customHeight="1" x14ac:dyDescent="0.35">
      <c r="A35" s="171">
        <v>22</v>
      </c>
      <c r="B35" s="231" t="s">
        <v>104</v>
      </c>
      <c r="C35" s="139">
        <v>6490.3799999999974</v>
      </c>
      <c r="D35" s="139">
        <v>51.69</v>
      </c>
      <c r="E35" s="139">
        <v>332.49</v>
      </c>
      <c r="F35" s="139">
        <v>0</v>
      </c>
      <c r="G35" s="139">
        <v>0</v>
      </c>
      <c r="H35" s="139">
        <v>6542.069999999997</v>
      </c>
      <c r="I35" s="139">
        <v>34.130000000000003</v>
      </c>
      <c r="J35" s="139">
        <v>0</v>
      </c>
      <c r="K35" s="139">
        <v>27.21</v>
      </c>
      <c r="L35" s="139">
        <v>0</v>
      </c>
      <c r="M35" s="139">
        <v>0</v>
      </c>
      <c r="N35" s="139">
        <v>34.130000000000003</v>
      </c>
      <c r="O35" s="139">
        <v>90.800000000000011</v>
      </c>
      <c r="P35" s="139">
        <v>0</v>
      </c>
      <c r="Q35" s="139">
        <v>32.380000000000003</v>
      </c>
      <c r="R35" s="139">
        <v>0</v>
      </c>
      <c r="S35" s="139">
        <v>0</v>
      </c>
      <c r="T35" s="139">
        <v>90.800000000000011</v>
      </c>
      <c r="U35" s="139">
        <v>6666.9999999999973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3580.88</v>
      </c>
      <c r="D36" s="139">
        <v>7.31</v>
      </c>
      <c r="E36" s="139">
        <v>137.09</v>
      </c>
      <c r="F36" s="139">
        <v>0</v>
      </c>
      <c r="G36" s="139">
        <v>0</v>
      </c>
      <c r="H36" s="139">
        <v>3588.19</v>
      </c>
      <c r="I36" s="139">
        <v>30.250000000000039</v>
      </c>
      <c r="J36" s="139">
        <v>0</v>
      </c>
      <c r="K36" s="139">
        <v>5.2</v>
      </c>
      <c r="L36" s="139">
        <v>0</v>
      </c>
      <c r="M36" s="139">
        <v>4.63</v>
      </c>
      <c r="N36" s="139">
        <v>30.250000000000039</v>
      </c>
      <c r="O36" s="139">
        <v>36.379999999999995</v>
      </c>
      <c r="P36" s="139">
        <v>0</v>
      </c>
      <c r="Q36" s="139">
        <v>19.29</v>
      </c>
      <c r="R36" s="139">
        <v>0</v>
      </c>
      <c r="S36" s="139">
        <v>0</v>
      </c>
      <c r="T36" s="139">
        <v>36.379999999999995</v>
      </c>
      <c r="U36" s="139">
        <v>3654.82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4964.199999999998</v>
      </c>
      <c r="D37" s="139">
        <v>54.72</v>
      </c>
      <c r="E37" s="139">
        <v>230.8</v>
      </c>
      <c r="F37" s="139">
        <v>0</v>
      </c>
      <c r="G37" s="139">
        <v>0</v>
      </c>
      <c r="H37" s="139">
        <v>5018.9199999999983</v>
      </c>
      <c r="I37" s="139">
        <v>26.700000000000003</v>
      </c>
      <c r="J37" s="139">
        <v>0</v>
      </c>
      <c r="K37" s="139">
        <v>14.27</v>
      </c>
      <c r="L37" s="139">
        <v>0</v>
      </c>
      <c r="M37" s="139">
        <v>1.06</v>
      </c>
      <c r="N37" s="139">
        <v>26.700000000000003</v>
      </c>
      <c r="O37" s="139">
        <v>3.0599999999999996</v>
      </c>
      <c r="P37" s="139">
        <v>0</v>
      </c>
      <c r="Q37" s="139">
        <v>0</v>
      </c>
      <c r="R37" s="139">
        <v>0</v>
      </c>
      <c r="S37" s="139">
        <v>3.46</v>
      </c>
      <c r="T37" s="139">
        <v>3.0599999999999996</v>
      </c>
      <c r="U37" s="139">
        <v>5048.6799999999985</v>
      </c>
    </row>
    <row r="38" spans="1:21" s="111" customFormat="1" ht="38.25" customHeight="1" x14ac:dyDescent="0.4">
      <c r="A38" s="313" t="s">
        <v>107</v>
      </c>
      <c r="B38" s="313"/>
      <c r="C38" s="141">
        <v>19604.149999999994</v>
      </c>
      <c r="D38" s="141">
        <v>117.89</v>
      </c>
      <c r="E38" s="141">
        <v>834.1400000000001</v>
      </c>
      <c r="F38" s="141">
        <v>9.89</v>
      </c>
      <c r="G38" s="141">
        <v>9.89</v>
      </c>
      <c r="H38" s="141">
        <v>19712.149999999994</v>
      </c>
      <c r="I38" s="141">
        <v>176.11</v>
      </c>
      <c r="J38" s="141">
        <v>21.76</v>
      </c>
      <c r="K38" s="141">
        <v>153.47</v>
      </c>
      <c r="L38" s="141">
        <v>0</v>
      </c>
      <c r="M38" s="141">
        <v>5.6899999999999995</v>
      </c>
      <c r="N38" s="141">
        <v>197.87</v>
      </c>
      <c r="O38" s="141">
        <v>202.94</v>
      </c>
      <c r="P38" s="141">
        <v>0</v>
      </c>
      <c r="Q38" s="141">
        <v>124.37</v>
      </c>
      <c r="R38" s="141">
        <v>0</v>
      </c>
      <c r="S38" s="141">
        <v>3.46</v>
      </c>
      <c r="T38" s="141">
        <v>202.94</v>
      </c>
      <c r="U38" s="141">
        <v>20112.959999999995</v>
      </c>
    </row>
    <row r="39" spans="1:21" s="145" customFormat="1" ht="38.25" customHeight="1" x14ac:dyDescent="0.4">
      <c r="A39" s="313" t="s">
        <v>108</v>
      </c>
      <c r="B39" s="313"/>
      <c r="C39" s="141">
        <v>42329.298800000004</v>
      </c>
      <c r="D39" s="141">
        <v>190.387</v>
      </c>
      <c r="E39" s="141">
        <v>1232.3580000000002</v>
      </c>
      <c r="F39" s="141">
        <v>9.89</v>
      </c>
      <c r="G39" s="141">
        <v>19.61</v>
      </c>
      <c r="H39" s="141">
        <v>42509.7958</v>
      </c>
      <c r="I39" s="141">
        <v>1275.5809999999999</v>
      </c>
      <c r="J39" s="141">
        <v>131.59</v>
      </c>
      <c r="K39" s="141">
        <v>280.88</v>
      </c>
      <c r="L39" s="141">
        <v>0</v>
      </c>
      <c r="M39" s="141">
        <v>5.6899999999999995</v>
      </c>
      <c r="N39" s="141">
        <v>1407.1709999999998</v>
      </c>
      <c r="O39" s="141">
        <v>392.81199999999995</v>
      </c>
      <c r="P39" s="141">
        <v>0</v>
      </c>
      <c r="Q39" s="141">
        <v>124.47</v>
      </c>
      <c r="R39" s="141">
        <v>0</v>
      </c>
      <c r="S39" s="141">
        <v>26.66</v>
      </c>
      <c r="T39" s="141">
        <v>392.81199999999995</v>
      </c>
      <c r="U39" s="141">
        <v>44309.7788</v>
      </c>
    </row>
    <row r="40" spans="1:21" ht="38.25" customHeight="1" x14ac:dyDescent="0.35">
      <c r="A40" s="171">
        <v>25</v>
      </c>
      <c r="B40" s="231" t="s">
        <v>109</v>
      </c>
      <c r="C40" s="139">
        <v>11750.943999999998</v>
      </c>
      <c r="D40" s="139">
        <v>14.53</v>
      </c>
      <c r="E40" s="139">
        <v>375.03000000000003</v>
      </c>
      <c r="F40" s="139">
        <v>0</v>
      </c>
      <c r="G40" s="139">
        <v>0</v>
      </c>
      <c r="H40" s="139">
        <v>11765.473999999998</v>
      </c>
      <c r="I40" s="139">
        <v>198.73</v>
      </c>
      <c r="J40" s="139">
        <v>0</v>
      </c>
      <c r="K40" s="139">
        <v>0</v>
      </c>
      <c r="L40" s="139">
        <v>0</v>
      </c>
      <c r="M40" s="139">
        <v>0</v>
      </c>
      <c r="N40" s="139">
        <v>198.73</v>
      </c>
      <c r="O40" s="139">
        <v>62.370000000000005</v>
      </c>
      <c r="P40" s="139">
        <v>11.14</v>
      </c>
      <c r="Q40" s="139">
        <v>73.510000000000005</v>
      </c>
      <c r="R40" s="139">
        <v>0</v>
      </c>
      <c r="S40" s="139">
        <v>0</v>
      </c>
      <c r="T40" s="139">
        <v>73.510000000000005</v>
      </c>
      <c r="U40" s="139">
        <v>12037.713999999998</v>
      </c>
    </row>
    <row r="41" spans="1:21" ht="38.25" customHeight="1" x14ac:dyDescent="0.35">
      <c r="A41" s="171">
        <v>26</v>
      </c>
      <c r="B41" s="231" t="s">
        <v>110</v>
      </c>
      <c r="C41" s="139">
        <v>8165.2689999999939</v>
      </c>
      <c r="D41" s="139">
        <v>40.86</v>
      </c>
      <c r="E41" s="139">
        <v>708.0920000000001</v>
      </c>
      <c r="F41" s="139">
        <v>0</v>
      </c>
      <c r="G41" s="139">
        <v>0</v>
      </c>
      <c r="H41" s="139">
        <v>8206.1289999999935</v>
      </c>
      <c r="I41" s="139">
        <v>8.67</v>
      </c>
      <c r="J41" s="139">
        <v>0</v>
      </c>
      <c r="K41" s="139">
        <v>0</v>
      </c>
      <c r="L41" s="139">
        <v>0</v>
      </c>
      <c r="M41" s="139">
        <v>0</v>
      </c>
      <c r="N41" s="139">
        <v>8.67</v>
      </c>
      <c r="O41" s="139">
        <v>62.8</v>
      </c>
      <c r="P41" s="139">
        <v>19.62</v>
      </c>
      <c r="Q41" s="139">
        <v>82.42</v>
      </c>
      <c r="R41" s="139">
        <v>0</v>
      </c>
      <c r="S41" s="139">
        <v>0</v>
      </c>
      <c r="T41" s="139">
        <v>82.42</v>
      </c>
      <c r="U41" s="139">
        <v>8297.2189999999937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13871.268999999995</v>
      </c>
      <c r="D42" s="139">
        <v>6.58</v>
      </c>
      <c r="E42" s="139">
        <v>72.410000000000011</v>
      </c>
      <c r="F42" s="139">
        <v>0</v>
      </c>
      <c r="G42" s="139">
        <v>0</v>
      </c>
      <c r="H42" s="139">
        <v>13877.848999999995</v>
      </c>
      <c r="I42" s="139">
        <v>15.62</v>
      </c>
      <c r="J42" s="139">
        <v>0</v>
      </c>
      <c r="K42" s="139">
        <v>0</v>
      </c>
      <c r="L42" s="139">
        <v>0</v>
      </c>
      <c r="M42" s="139">
        <v>0</v>
      </c>
      <c r="N42" s="139">
        <v>15.62</v>
      </c>
      <c r="O42" s="139">
        <v>95.25</v>
      </c>
      <c r="P42" s="139">
        <v>27.52</v>
      </c>
      <c r="Q42" s="139">
        <v>83.75</v>
      </c>
      <c r="R42" s="139">
        <v>0</v>
      </c>
      <c r="S42" s="139">
        <v>0</v>
      </c>
      <c r="T42" s="139">
        <v>122.77</v>
      </c>
      <c r="U42" s="139">
        <v>14016.238999999996</v>
      </c>
    </row>
    <row r="43" spans="1:21" ht="38.25" customHeight="1" x14ac:dyDescent="0.35">
      <c r="A43" s="171">
        <v>28</v>
      </c>
      <c r="B43" s="231" t="s">
        <v>112</v>
      </c>
      <c r="C43" s="139">
        <v>4070.9600000000009</v>
      </c>
      <c r="D43" s="139">
        <v>40.04</v>
      </c>
      <c r="E43" s="139">
        <v>143.52000000000001</v>
      </c>
      <c r="F43" s="139">
        <v>0</v>
      </c>
      <c r="G43" s="139">
        <v>0</v>
      </c>
      <c r="H43" s="139">
        <v>4111.0000000000009</v>
      </c>
      <c r="I43" s="139">
        <v>3.5</v>
      </c>
      <c r="J43" s="139">
        <v>0</v>
      </c>
      <c r="K43" s="139">
        <v>0</v>
      </c>
      <c r="L43" s="139">
        <v>0</v>
      </c>
      <c r="M43" s="139">
        <v>0</v>
      </c>
      <c r="N43" s="139">
        <v>3.5</v>
      </c>
      <c r="O43" s="139">
        <v>29.8</v>
      </c>
      <c r="P43" s="139">
        <v>0</v>
      </c>
      <c r="Q43" s="139">
        <v>29.8</v>
      </c>
      <c r="R43" s="139">
        <v>0</v>
      </c>
      <c r="S43" s="139">
        <v>0</v>
      </c>
      <c r="T43" s="139">
        <v>29.8</v>
      </c>
      <c r="U43" s="139">
        <v>4144.3000000000011</v>
      </c>
    </row>
    <row r="44" spans="1:21" s="111" customFormat="1" ht="38.25" customHeight="1" x14ac:dyDescent="0.4">
      <c r="A44" s="313" t="s">
        <v>109</v>
      </c>
      <c r="B44" s="313"/>
      <c r="C44" s="141">
        <v>37858.441999999988</v>
      </c>
      <c r="D44" s="141">
        <v>102.00999999999999</v>
      </c>
      <c r="E44" s="141">
        <v>1299.0520000000001</v>
      </c>
      <c r="F44" s="141">
        <v>0</v>
      </c>
      <c r="G44" s="141">
        <v>0</v>
      </c>
      <c r="H44" s="141">
        <v>37960.45199999999</v>
      </c>
      <c r="I44" s="141">
        <v>226.51999999999998</v>
      </c>
      <c r="J44" s="141">
        <v>0</v>
      </c>
      <c r="K44" s="141">
        <v>0</v>
      </c>
      <c r="L44" s="141">
        <v>0</v>
      </c>
      <c r="M44" s="141">
        <v>0</v>
      </c>
      <c r="N44" s="141">
        <v>226.51999999999998</v>
      </c>
      <c r="O44" s="141">
        <v>250.22000000000003</v>
      </c>
      <c r="P44" s="141">
        <v>58.28</v>
      </c>
      <c r="Q44" s="141">
        <v>269.48</v>
      </c>
      <c r="R44" s="141">
        <v>0</v>
      </c>
      <c r="S44" s="141">
        <v>0</v>
      </c>
      <c r="T44" s="141">
        <v>308.5</v>
      </c>
      <c r="U44" s="141">
        <v>38495.471999999987</v>
      </c>
    </row>
    <row r="45" spans="1:21" ht="38.25" customHeight="1" x14ac:dyDescent="0.35">
      <c r="A45" s="171">
        <v>29</v>
      </c>
      <c r="B45" s="231" t="s">
        <v>113</v>
      </c>
      <c r="C45" s="139">
        <v>8160.2421000000004</v>
      </c>
      <c r="D45" s="139">
        <v>23</v>
      </c>
      <c r="E45" s="139">
        <v>131.26</v>
      </c>
      <c r="F45" s="139">
        <v>0</v>
      </c>
      <c r="G45" s="139">
        <v>0</v>
      </c>
      <c r="H45" s="139">
        <v>8183.2421000000004</v>
      </c>
      <c r="I45" s="139">
        <v>208.19</v>
      </c>
      <c r="J45" s="139">
        <v>52.129999999999995</v>
      </c>
      <c r="K45" s="139">
        <v>218.39999999999998</v>
      </c>
      <c r="L45" s="139">
        <v>0</v>
      </c>
      <c r="M45" s="139">
        <v>0</v>
      </c>
      <c r="N45" s="139">
        <v>260.32</v>
      </c>
      <c r="O45" s="139">
        <v>84.22</v>
      </c>
      <c r="P45" s="139">
        <v>0</v>
      </c>
      <c r="Q45" s="139">
        <v>69.47</v>
      </c>
      <c r="R45" s="139">
        <v>0</v>
      </c>
      <c r="S45" s="139">
        <v>0</v>
      </c>
      <c r="T45" s="139">
        <v>84.22</v>
      </c>
      <c r="U45" s="139">
        <v>8527.7821000000004</v>
      </c>
    </row>
    <row r="46" spans="1:21" ht="38.25" customHeight="1" x14ac:dyDescent="0.35">
      <c r="A46" s="171">
        <v>30</v>
      </c>
      <c r="B46" s="231" t="s">
        <v>114</v>
      </c>
      <c r="C46" s="139">
        <v>7787.4350000000022</v>
      </c>
      <c r="D46" s="139">
        <v>3.85</v>
      </c>
      <c r="E46" s="139">
        <v>52.79</v>
      </c>
      <c r="F46" s="139">
        <v>0</v>
      </c>
      <c r="G46" s="139">
        <v>0</v>
      </c>
      <c r="H46" s="139">
        <v>7791.2850000000026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47.03</v>
      </c>
      <c r="P46" s="139">
        <v>0</v>
      </c>
      <c r="Q46" s="139">
        <v>47.03</v>
      </c>
      <c r="R46" s="139">
        <v>0</v>
      </c>
      <c r="S46" s="139">
        <v>0</v>
      </c>
      <c r="T46" s="139">
        <v>47.03</v>
      </c>
      <c r="U46" s="139">
        <v>7838.3150000000023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8929.2099999999991</v>
      </c>
      <c r="D47" s="139">
        <v>5.9</v>
      </c>
      <c r="E47" s="139">
        <v>150.47000000000003</v>
      </c>
      <c r="F47" s="139">
        <v>0</v>
      </c>
      <c r="G47" s="139">
        <v>0</v>
      </c>
      <c r="H47" s="139">
        <v>8935.1099999999988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64.44</v>
      </c>
      <c r="P47" s="139">
        <v>54.51</v>
      </c>
      <c r="Q47" s="139">
        <v>118.91999999999999</v>
      </c>
      <c r="R47" s="139">
        <v>0</v>
      </c>
      <c r="S47" s="139">
        <v>0</v>
      </c>
      <c r="T47" s="139">
        <v>118.94999999999999</v>
      </c>
      <c r="U47" s="139">
        <v>9057.1899999999987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8584.3189999999995</v>
      </c>
      <c r="D48" s="139">
        <v>2.38</v>
      </c>
      <c r="E48" s="139">
        <v>389.90999999999997</v>
      </c>
      <c r="F48" s="139">
        <v>0</v>
      </c>
      <c r="G48" s="139">
        <v>0</v>
      </c>
      <c r="H48" s="139">
        <v>8586.6989999999987</v>
      </c>
      <c r="I48" s="139">
        <v>5.0249999999999995</v>
      </c>
      <c r="J48" s="139">
        <v>0</v>
      </c>
      <c r="K48" s="139">
        <v>0</v>
      </c>
      <c r="L48" s="139">
        <v>0</v>
      </c>
      <c r="M48" s="139">
        <v>0</v>
      </c>
      <c r="N48" s="139">
        <v>5.0249999999999995</v>
      </c>
      <c r="O48" s="139">
        <v>4.21</v>
      </c>
      <c r="P48" s="139">
        <v>0</v>
      </c>
      <c r="Q48" s="139">
        <v>4.21</v>
      </c>
      <c r="R48" s="139">
        <v>0</v>
      </c>
      <c r="S48" s="139">
        <v>0</v>
      </c>
      <c r="T48" s="139">
        <v>4.21</v>
      </c>
      <c r="U48" s="139">
        <v>8595.9339999999975</v>
      </c>
    </row>
    <row r="49" spans="1:21" s="111" customFormat="1" ht="38.25" customHeight="1" x14ac:dyDescent="0.4">
      <c r="A49" s="313" t="s">
        <v>117</v>
      </c>
      <c r="B49" s="313"/>
      <c r="C49" s="141">
        <v>33461.206099999996</v>
      </c>
      <c r="D49" s="141">
        <v>35.130000000000003</v>
      </c>
      <c r="E49" s="141">
        <v>724.43</v>
      </c>
      <c r="F49" s="141">
        <v>0</v>
      </c>
      <c r="G49" s="141">
        <v>0</v>
      </c>
      <c r="H49" s="141">
        <v>33496.3361</v>
      </c>
      <c r="I49" s="141">
        <v>216.345</v>
      </c>
      <c r="J49" s="141">
        <v>52.129999999999995</v>
      </c>
      <c r="K49" s="141">
        <v>218.39999999999998</v>
      </c>
      <c r="L49" s="141">
        <v>0</v>
      </c>
      <c r="M49" s="141">
        <v>0</v>
      </c>
      <c r="N49" s="141">
        <v>268.47499999999997</v>
      </c>
      <c r="O49" s="141">
        <v>199.9</v>
      </c>
      <c r="P49" s="141">
        <v>54.51</v>
      </c>
      <c r="Q49" s="141">
        <v>239.63</v>
      </c>
      <c r="R49" s="141">
        <v>0</v>
      </c>
      <c r="S49" s="141">
        <v>0</v>
      </c>
      <c r="T49" s="141">
        <v>254.41</v>
      </c>
      <c r="U49" s="141">
        <v>34019.221099999995</v>
      </c>
    </row>
    <row r="50" spans="1:21" s="145" customFormat="1" ht="38.25" customHeight="1" x14ac:dyDescent="0.4">
      <c r="A50" s="313" t="s">
        <v>118</v>
      </c>
      <c r="B50" s="313"/>
      <c r="C50" s="141">
        <v>71319.648099999991</v>
      </c>
      <c r="D50" s="141">
        <v>137.13999999999999</v>
      </c>
      <c r="E50" s="141">
        <v>2023.482</v>
      </c>
      <c r="F50" s="141">
        <v>0</v>
      </c>
      <c r="G50" s="141">
        <v>0</v>
      </c>
      <c r="H50" s="141">
        <v>71456.788099999991</v>
      </c>
      <c r="I50" s="141">
        <v>442.86500000000001</v>
      </c>
      <c r="J50" s="141">
        <v>52.129999999999995</v>
      </c>
      <c r="K50" s="141">
        <v>218.39999999999998</v>
      </c>
      <c r="L50" s="141">
        <v>0</v>
      </c>
      <c r="M50" s="141">
        <v>0</v>
      </c>
      <c r="N50" s="141">
        <v>494.99499999999995</v>
      </c>
      <c r="O50" s="141">
        <v>450.12</v>
      </c>
      <c r="P50" s="141">
        <v>112.78999999999999</v>
      </c>
      <c r="Q50" s="141">
        <v>509.11</v>
      </c>
      <c r="R50" s="141">
        <v>0</v>
      </c>
      <c r="S50" s="141">
        <v>0</v>
      </c>
      <c r="T50" s="141">
        <v>562.91</v>
      </c>
      <c r="U50" s="141">
        <v>72514.693099999975</v>
      </c>
    </row>
    <row r="51" spans="1:21" s="146" customFormat="1" ht="38.25" customHeight="1" x14ac:dyDescent="0.4">
      <c r="A51" s="313" t="s">
        <v>119</v>
      </c>
      <c r="B51" s="313"/>
      <c r="C51" s="141">
        <v>117903.4629</v>
      </c>
      <c r="D51" s="141">
        <v>328.25700000000001</v>
      </c>
      <c r="E51" s="141">
        <v>3267.4500000000003</v>
      </c>
      <c r="F51" s="141">
        <v>99.31</v>
      </c>
      <c r="G51" s="141">
        <v>552.75</v>
      </c>
      <c r="H51" s="141">
        <v>118132.4099</v>
      </c>
      <c r="I51" s="141">
        <v>10121.86</v>
      </c>
      <c r="J51" s="141">
        <v>250.858</v>
      </c>
      <c r="K51" s="141">
        <v>1786.444</v>
      </c>
      <c r="L51" s="141">
        <v>0.34</v>
      </c>
      <c r="M51" s="141">
        <v>7.85</v>
      </c>
      <c r="N51" s="141">
        <v>10372.378000000001</v>
      </c>
      <c r="O51" s="141">
        <v>1416.29</v>
      </c>
      <c r="P51" s="141">
        <v>113.08999999999999</v>
      </c>
      <c r="Q51" s="141">
        <v>635.94000000000005</v>
      </c>
      <c r="R51" s="141">
        <v>2.11</v>
      </c>
      <c r="S51" s="141">
        <v>50.150000000000006</v>
      </c>
      <c r="T51" s="141">
        <v>1527.27</v>
      </c>
      <c r="U51" s="141">
        <v>130032.05789999997</v>
      </c>
    </row>
    <row r="52" spans="1:21" s="115" customFormat="1" ht="24.75" hidden="1" customHeight="1" x14ac:dyDescent="0.4">
      <c r="B52" s="254"/>
      <c r="C52" s="278" t="s">
        <v>54</v>
      </c>
      <c r="D52" s="278"/>
      <c r="E52" s="278"/>
      <c r="F52" s="278"/>
      <c r="G52" s="278"/>
      <c r="H52" s="118"/>
      <c r="I52" s="254"/>
      <c r="J52" s="254">
        <f>D51+J51+P51-F51-L51-R51</f>
        <v>590.44499999999994</v>
      </c>
      <c r="K52" s="254"/>
      <c r="L52" s="254"/>
      <c r="M52" s="254"/>
      <c r="N52" s="254"/>
      <c r="R52" s="254"/>
      <c r="U52" s="254"/>
    </row>
    <row r="53" spans="1:21" s="115" customFormat="1" ht="30" hidden="1" customHeight="1" x14ac:dyDescent="0.35">
      <c r="B53" s="254"/>
      <c r="C53" s="278" t="s">
        <v>55</v>
      </c>
      <c r="D53" s="278"/>
      <c r="E53" s="278"/>
      <c r="F53" s="278"/>
      <c r="G53" s="278"/>
      <c r="H53" s="119"/>
      <c r="I53" s="254"/>
      <c r="J53" s="254">
        <f>E51+K51+Q51-G51-M51-S51</f>
        <v>5079.0840000000007</v>
      </c>
      <c r="K53" s="254"/>
      <c r="L53" s="254"/>
      <c r="M53" s="254"/>
      <c r="N53" s="254"/>
      <c r="R53" s="254"/>
      <c r="T53" s="254"/>
    </row>
    <row r="54" spans="1:21" ht="33" hidden="1" customHeight="1" x14ac:dyDescent="0.5">
      <c r="C54" s="278" t="s">
        <v>56</v>
      </c>
      <c r="D54" s="278"/>
      <c r="E54" s="278"/>
      <c r="F54" s="278"/>
      <c r="G54" s="278"/>
      <c r="H54" s="119"/>
      <c r="I54" s="121"/>
      <c r="J54" s="254">
        <f>H51+N51+T51</f>
        <v>130032.0579</v>
      </c>
      <c r="K54" s="119"/>
      <c r="L54" s="119"/>
      <c r="M54" s="142" t="e">
        <f>#REF!+'dec-2021'!J54</f>
        <v>#REF!</v>
      </c>
      <c r="N54" s="119"/>
      <c r="P54" s="115"/>
      <c r="Q54" s="122"/>
      <c r="U54" s="122"/>
    </row>
    <row r="55" spans="1:21" ht="33" hidden="1" customHeight="1" x14ac:dyDescent="0.5">
      <c r="C55" s="120"/>
      <c r="D55" s="254"/>
      <c r="E55" s="254"/>
      <c r="F55" s="254"/>
      <c r="G55" s="254"/>
      <c r="H55" s="119"/>
      <c r="I55" s="121"/>
      <c r="J55" s="254"/>
      <c r="K55" s="119"/>
      <c r="L55" s="119"/>
      <c r="M55" s="143"/>
      <c r="N55" s="119"/>
      <c r="P55" s="115"/>
      <c r="Q55" s="122"/>
      <c r="U55" s="122"/>
    </row>
    <row r="56" spans="1:21" ht="33" hidden="1" customHeight="1" x14ac:dyDescent="0.5">
      <c r="C56" s="120"/>
      <c r="D56" s="254"/>
      <c r="E56" s="254"/>
      <c r="F56" s="254"/>
      <c r="G56" s="254"/>
      <c r="H56" s="119"/>
      <c r="I56" s="121"/>
      <c r="J56" s="254"/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s="152" customFormat="1" ht="37.5" hidden="1" customHeight="1" x14ac:dyDescent="0.45">
      <c r="B57" s="287" t="s">
        <v>57</v>
      </c>
      <c r="C57" s="287"/>
      <c r="D57" s="287"/>
      <c r="E57" s="287"/>
      <c r="F57" s="287"/>
      <c r="G57" s="153"/>
      <c r="H57" s="154"/>
      <c r="I57" s="155"/>
      <c r="J57" s="288"/>
      <c r="K57" s="286"/>
      <c r="L57" s="286"/>
      <c r="M57" s="169" t="e">
        <f>#REF!+'dec-2021'!J54</f>
        <v>#REF!</v>
      </c>
      <c r="N57" s="154"/>
      <c r="O57" s="154"/>
      <c r="P57" s="255"/>
      <c r="Q57" s="287" t="s">
        <v>58</v>
      </c>
      <c r="R57" s="287"/>
      <c r="S57" s="287"/>
      <c r="T57" s="287"/>
      <c r="U57" s="287"/>
    </row>
    <row r="58" spans="1:21" s="152" customFormat="1" ht="37.5" hidden="1" customHeight="1" x14ac:dyDescent="0.45">
      <c r="B58" s="287" t="s">
        <v>59</v>
      </c>
      <c r="C58" s="287"/>
      <c r="D58" s="287"/>
      <c r="E58" s="287"/>
      <c r="F58" s="287"/>
      <c r="G58" s="154"/>
      <c r="H58" s="153"/>
      <c r="I58" s="156"/>
      <c r="J58" s="157"/>
      <c r="K58" s="256"/>
      <c r="L58" s="157"/>
      <c r="M58" s="154"/>
      <c r="N58" s="153"/>
      <c r="O58" s="154"/>
      <c r="P58" s="255"/>
      <c r="Q58" s="287" t="s">
        <v>59</v>
      </c>
      <c r="R58" s="287"/>
      <c r="S58" s="287"/>
      <c r="T58" s="287"/>
      <c r="U58" s="287"/>
    </row>
    <row r="59" spans="1:21" s="152" customFormat="1" ht="37.5" hidden="1" customHeight="1" x14ac:dyDescent="0.45">
      <c r="I59" s="158"/>
      <c r="J59" s="286" t="s">
        <v>61</v>
      </c>
      <c r="K59" s="286"/>
      <c r="L59" s="286"/>
      <c r="M59" s="159" t="e">
        <f>#REF!+'dec-2021'!J54</f>
        <v>#REF!</v>
      </c>
      <c r="P59" s="160"/>
      <c r="Q59" s="160"/>
      <c r="R59" s="160"/>
      <c r="S59" s="161"/>
      <c r="T59" s="160"/>
      <c r="U59" s="160"/>
    </row>
    <row r="60" spans="1:21" s="152" customFormat="1" ht="37.5" hidden="1" customHeight="1" x14ac:dyDescent="0.45">
      <c r="G60" s="162"/>
      <c r="H60" s="159" t="e">
        <f>#REF!+'dec-2021'!J54</f>
        <v>#REF!</v>
      </c>
      <c r="I60" s="158"/>
      <c r="J60" s="286" t="s">
        <v>62</v>
      </c>
      <c r="K60" s="286"/>
      <c r="L60" s="286"/>
      <c r="M60" s="159" t="e">
        <f>#REF!+'dec-2021'!J54</f>
        <v>#REF!</v>
      </c>
      <c r="P60" s="160"/>
      <c r="Q60" s="160"/>
      <c r="R60" s="160"/>
      <c r="S60" s="161"/>
      <c r="T60" s="160"/>
      <c r="U60" s="160"/>
    </row>
    <row r="61" spans="1:21" hidden="1" x14ac:dyDescent="0.35"/>
    <row r="62" spans="1:21" hidden="1" x14ac:dyDescent="0.35">
      <c r="H62" s="130"/>
      <c r="I62" s="131"/>
      <c r="J62" s="130"/>
    </row>
    <row r="63" spans="1:21" hidden="1" x14ac:dyDescent="0.35">
      <c r="H63" s="130"/>
      <c r="I63" s="131"/>
      <c r="J63" s="130"/>
    </row>
    <row r="64" spans="1:21" hidden="1" x14ac:dyDescent="0.35">
      <c r="H64" s="125">
        <f>'[2]nov 17'!J53+'[2]dec 17'!J51</f>
        <v>98988.2883</v>
      </c>
      <c r="I64" s="131"/>
      <c r="J64" s="130"/>
    </row>
    <row r="65" spans="3:10" x14ac:dyDescent="0.35">
      <c r="C65" s="119"/>
      <c r="H65" s="130"/>
      <c r="I65" s="131"/>
      <c r="J65" s="130"/>
    </row>
    <row r="66" spans="3:10" ht="18" customHeight="1" x14ac:dyDescent="0.35">
      <c r="H66" s="130"/>
      <c r="I66" s="131"/>
      <c r="J66" s="130"/>
    </row>
  </sheetData>
  <mergeCells count="44">
    <mergeCell ref="J59:L59"/>
    <mergeCell ref="J60:L60"/>
    <mergeCell ref="C52:G52"/>
    <mergeCell ref="C53:G53"/>
    <mergeCell ref="C54:G54"/>
    <mergeCell ref="B57:F57"/>
    <mergeCell ref="J57:L57"/>
    <mergeCell ref="A11:B11"/>
    <mergeCell ref="F5:G5"/>
    <mergeCell ref="H5:H6"/>
    <mergeCell ref="B58:F58"/>
    <mergeCell ref="Q58:U58"/>
    <mergeCell ref="Q57:U57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scale="1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view="pageBreakPreview" topLeftCell="A37" zoomScale="40" zoomScaleNormal="55" zoomScaleSheetLayoutView="40" workbookViewId="0">
      <selection activeCell="K48" sqref="K48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3" width="25.42578125" style="107" customWidth="1"/>
    <col min="14" max="14" width="28.7109375" style="107" customWidth="1"/>
    <col min="15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155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53" t="s">
        <v>122</v>
      </c>
      <c r="B4" s="355" t="s">
        <v>121</v>
      </c>
      <c r="C4" s="358" t="s">
        <v>131</v>
      </c>
      <c r="D4" s="359"/>
      <c r="E4" s="359"/>
      <c r="F4" s="359"/>
      <c r="G4" s="359"/>
      <c r="H4" s="359"/>
      <c r="I4" s="358" t="s">
        <v>146</v>
      </c>
      <c r="J4" s="359"/>
      <c r="K4" s="359"/>
      <c r="L4" s="359"/>
      <c r="M4" s="359"/>
      <c r="N4" s="359"/>
      <c r="O4" s="358" t="s">
        <v>147</v>
      </c>
      <c r="P4" s="359"/>
      <c r="Q4" s="359"/>
      <c r="R4" s="359"/>
      <c r="S4" s="359"/>
      <c r="T4" s="359"/>
      <c r="U4" s="258"/>
    </row>
    <row r="5" spans="1:21" s="108" customFormat="1" ht="54.75" customHeight="1" x14ac:dyDescent="0.25">
      <c r="A5" s="354"/>
      <c r="B5" s="356"/>
      <c r="C5" s="349" t="s">
        <v>6</v>
      </c>
      <c r="D5" s="351" t="s">
        <v>127</v>
      </c>
      <c r="E5" s="352"/>
      <c r="F5" s="351" t="s">
        <v>126</v>
      </c>
      <c r="G5" s="352"/>
      <c r="H5" s="349" t="s">
        <v>9</v>
      </c>
      <c r="I5" s="349" t="s">
        <v>6</v>
      </c>
      <c r="J5" s="351" t="s">
        <v>127</v>
      </c>
      <c r="K5" s="352"/>
      <c r="L5" s="351" t="s">
        <v>126</v>
      </c>
      <c r="M5" s="352"/>
      <c r="N5" s="349" t="s">
        <v>9</v>
      </c>
      <c r="O5" s="349" t="s">
        <v>6</v>
      </c>
      <c r="P5" s="351" t="s">
        <v>127</v>
      </c>
      <c r="Q5" s="352"/>
      <c r="R5" s="351" t="s">
        <v>126</v>
      </c>
      <c r="S5" s="352"/>
      <c r="T5" s="349" t="s">
        <v>9</v>
      </c>
      <c r="U5" s="355" t="s">
        <v>128</v>
      </c>
    </row>
    <row r="6" spans="1:21" s="108" customFormat="1" ht="38.25" customHeight="1" x14ac:dyDescent="0.25">
      <c r="A6" s="354"/>
      <c r="B6" s="357"/>
      <c r="C6" s="350"/>
      <c r="D6" s="231" t="s">
        <v>124</v>
      </c>
      <c r="E6" s="231" t="s">
        <v>125</v>
      </c>
      <c r="F6" s="231" t="s">
        <v>124</v>
      </c>
      <c r="G6" s="231" t="s">
        <v>125</v>
      </c>
      <c r="H6" s="350"/>
      <c r="I6" s="350"/>
      <c r="J6" s="231" t="s">
        <v>124</v>
      </c>
      <c r="K6" s="231" t="s">
        <v>125</v>
      </c>
      <c r="L6" s="231" t="s">
        <v>124</v>
      </c>
      <c r="M6" s="231" t="s">
        <v>125</v>
      </c>
      <c r="N6" s="350"/>
      <c r="O6" s="350"/>
      <c r="P6" s="231" t="s">
        <v>124</v>
      </c>
      <c r="Q6" s="231" t="s">
        <v>125</v>
      </c>
      <c r="R6" s="231" t="s">
        <v>124</v>
      </c>
      <c r="S6" s="231" t="s">
        <v>125</v>
      </c>
      <c r="T6" s="350"/>
      <c r="U6" s="357"/>
    </row>
    <row r="7" spans="1:21" ht="38.25" customHeight="1" x14ac:dyDescent="0.35">
      <c r="A7" s="230">
        <v>1</v>
      </c>
      <c r="B7" s="231" t="s">
        <v>78</v>
      </c>
      <c r="C7" s="139">
        <f>'[7]Nov 2022'!H7</f>
        <v>7.179999999999982</v>
      </c>
      <c r="D7" s="139">
        <v>0</v>
      </c>
      <c r="E7" s="139">
        <f>'[7]Nov 2022'!E7+'[7]Dec 2022'!D7</f>
        <v>0</v>
      </c>
      <c r="F7" s="139">
        <v>0</v>
      </c>
      <c r="G7" s="139">
        <f>'[7]Nov 2022'!G7+'[7]Dec 2022'!F7</f>
        <v>82.86</v>
      </c>
      <c r="H7" s="139">
        <f>C7+D7-F7</f>
        <v>7.179999999999982</v>
      </c>
      <c r="I7" s="139">
        <f>'[7]Nov 2022'!N7</f>
        <v>690.12599999999975</v>
      </c>
      <c r="J7" s="139">
        <v>0</v>
      </c>
      <c r="K7" s="139">
        <f>'[7]Nov 2022'!K7+'[7]Dec 2022'!J7</f>
        <v>105.90899999999999</v>
      </c>
      <c r="L7" s="139">
        <v>0</v>
      </c>
      <c r="M7" s="139">
        <f>'[7]Nov 2022'!M7+'[7]Dec 2022'!L7</f>
        <v>0</v>
      </c>
      <c r="N7" s="139">
        <f>I7+J7-L7</f>
        <v>690.12599999999975</v>
      </c>
      <c r="O7" s="139">
        <f>'[7]Nov 2022'!T7</f>
        <v>8.436000000000007</v>
      </c>
      <c r="P7" s="139">
        <v>0</v>
      </c>
      <c r="Q7" s="139">
        <f>'[7]Nov 2022'!Q7+'[7]Dec 2022'!P7</f>
        <v>0</v>
      </c>
      <c r="R7" s="139">
        <v>0</v>
      </c>
      <c r="S7" s="139">
        <f>'[7]Nov 2022'!S7+'[7]Dec 2022'!R7</f>
        <v>1.01</v>
      </c>
      <c r="T7" s="139">
        <f>O7+P7-R7</f>
        <v>8.436000000000007</v>
      </c>
      <c r="U7" s="139">
        <f>H7+N7+T7</f>
        <v>705.74199999999973</v>
      </c>
    </row>
    <row r="8" spans="1:21" ht="38.25" customHeight="1" x14ac:dyDescent="0.35">
      <c r="A8" s="230">
        <v>2</v>
      </c>
      <c r="B8" s="231" t="s">
        <v>79</v>
      </c>
      <c r="C8" s="139">
        <f>'[7]Nov 2022'!H8</f>
        <v>265.39</v>
      </c>
      <c r="D8" s="139">
        <v>0</v>
      </c>
      <c r="E8" s="139">
        <f>'[7]Nov 2022'!E8+'[7]Dec 2022'!D8</f>
        <v>0</v>
      </c>
      <c r="F8" s="139">
        <v>0</v>
      </c>
      <c r="G8" s="139">
        <f>'[7]Nov 2022'!G8+'[7]Dec 2022'!F8</f>
        <v>0</v>
      </c>
      <c r="H8" s="139">
        <f t="shared" ref="H8:H48" si="0">C8+D8-F8</f>
        <v>265.39</v>
      </c>
      <c r="I8" s="139">
        <f>'[7]Nov 2022'!N8</f>
        <v>365.38000000000005</v>
      </c>
      <c r="J8" s="139">
        <v>10.79</v>
      </c>
      <c r="K8" s="139">
        <f>'[7]Nov 2022'!K8+'[7]Dec 2022'!J8</f>
        <v>64.19</v>
      </c>
      <c r="L8" s="139">
        <v>0</v>
      </c>
      <c r="M8" s="139">
        <f>'[7]Nov 2022'!M8+'[7]Dec 2022'!L8</f>
        <v>0</v>
      </c>
      <c r="N8" s="139">
        <f t="shared" ref="N8:N48" si="1">I8+J8-L8</f>
        <v>376.17000000000007</v>
      </c>
      <c r="O8" s="139">
        <f>'[7]Nov 2022'!T8</f>
        <v>66.290000000000006</v>
      </c>
      <c r="P8" s="139">
        <v>0</v>
      </c>
      <c r="Q8" s="139">
        <f>'[7]Nov 2022'!Q8+'[7]Dec 2022'!P8</f>
        <v>0</v>
      </c>
      <c r="R8" s="139">
        <v>0</v>
      </c>
      <c r="S8" s="139">
        <f>'[7]Nov 2022'!S8+'[7]Dec 2022'!R8</f>
        <v>0</v>
      </c>
      <c r="T8" s="139">
        <f t="shared" ref="T8:T48" si="2">O8+P8-R8</f>
        <v>66.290000000000006</v>
      </c>
      <c r="U8" s="139">
        <f t="shared" ref="U8:U48" si="3">H8+N8+T8</f>
        <v>707.85</v>
      </c>
    </row>
    <row r="9" spans="1:21" ht="38.25" customHeight="1" x14ac:dyDescent="0.35">
      <c r="A9" s="230">
        <v>3</v>
      </c>
      <c r="B9" s="231" t="s">
        <v>80</v>
      </c>
      <c r="C9" s="139">
        <f>'[7]Nov 2022'!H9</f>
        <v>209.16</v>
      </c>
      <c r="D9" s="139">
        <v>0</v>
      </c>
      <c r="E9" s="139">
        <f>'[7]Nov 2022'!E9+'[7]Dec 2022'!D9</f>
        <v>0</v>
      </c>
      <c r="F9" s="139">
        <v>0</v>
      </c>
      <c r="G9" s="139">
        <f>'[7]Nov 2022'!G9+'[7]Dec 2022'!F9</f>
        <v>0</v>
      </c>
      <c r="H9" s="139">
        <f t="shared" si="0"/>
        <v>209.16</v>
      </c>
      <c r="I9" s="139">
        <f>'[7]Nov 2022'!N9</f>
        <v>871.71800000000007</v>
      </c>
      <c r="J9" s="139">
        <v>7.73</v>
      </c>
      <c r="K9" s="139">
        <f>'[7]Nov 2022'!K9+'[7]Dec 2022'!J9</f>
        <v>122.89999999999999</v>
      </c>
      <c r="L9" s="139">
        <v>0</v>
      </c>
      <c r="M9" s="139">
        <f>'[7]Nov 2022'!M9+'[7]Dec 2022'!L9</f>
        <v>0</v>
      </c>
      <c r="N9" s="139">
        <f t="shared" si="1"/>
        <v>879.44800000000009</v>
      </c>
      <c r="O9" s="139">
        <f>'[7]Nov 2022'!T9</f>
        <v>44.739999999999995</v>
      </c>
      <c r="P9" s="139">
        <v>0</v>
      </c>
      <c r="Q9" s="139">
        <f>'[7]Nov 2022'!Q9+'[7]Dec 2022'!P9</f>
        <v>0</v>
      </c>
      <c r="R9" s="139">
        <v>0</v>
      </c>
      <c r="S9" s="139">
        <f>'[7]Nov 2022'!S9+'[7]Dec 2022'!R9</f>
        <v>0</v>
      </c>
      <c r="T9" s="139">
        <f t="shared" si="2"/>
        <v>44.739999999999995</v>
      </c>
      <c r="U9" s="139">
        <f t="shared" si="3"/>
        <v>1133.3480000000002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f>'[7]Nov 2022'!H10</f>
        <v>0</v>
      </c>
      <c r="D10" s="139">
        <v>0</v>
      </c>
      <c r="E10" s="139">
        <f>'[7]Nov 2022'!E10+'[7]Dec 2022'!D10</f>
        <v>0</v>
      </c>
      <c r="F10" s="139">
        <v>0</v>
      </c>
      <c r="G10" s="139">
        <f>'[7]Nov 2022'!G10+'[7]Dec 2022'!F10</f>
        <v>0</v>
      </c>
      <c r="H10" s="139">
        <f t="shared" si="0"/>
        <v>0</v>
      </c>
      <c r="I10" s="139">
        <f>'[7]Nov 2022'!N10</f>
        <v>351.25999999999993</v>
      </c>
      <c r="J10" s="139">
        <v>0.52</v>
      </c>
      <c r="K10" s="139">
        <f>'[7]Nov 2022'!K10+'[7]Dec 2022'!J10</f>
        <v>9.4050000000000011</v>
      </c>
      <c r="L10" s="139">
        <v>0</v>
      </c>
      <c r="M10" s="139">
        <f>'[7]Nov 2022'!M10+'[7]Dec 2022'!L10</f>
        <v>0</v>
      </c>
      <c r="N10" s="139">
        <f t="shared" si="1"/>
        <v>351.77999999999992</v>
      </c>
      <c r="O10" s="139">
        <f>'[7]Nov 2022'!T10</f>
        <v>0.20000000000000007</v>
      </c>
      <c r="P10" s="139">
        <v>0</v>
      </c>
      <c r="Q10" s="139">
        <f>'[7]Nov 2022'!Q10+'[7]Dec 2022'!P10</f>
        <v>0</v>
      </c>
      <c r="R10" s="139">
        <v>0</v>
      </c>
      <c r="S10" s="139">
        <f>'[7]Nov 2022'!S10+'[7]Dec 2022'!R10</f>
        <v>0</v>
      </c>
      <c r="T10" s="139">
        <f t="shared" si="2"/>
        <v>0.20000000000000007</v>
      </c>
      <c r="U10" s="139">
        <f t="shared" si="3"/>
        <v>351.9799999999999</v>
      </c>
    </row>
    <row r="11" spans="1:21" s="111" customFormat="1" ht="38.25" customHeight="1" x14ac:dyDescent="0.4">
      <c r="A11" s="308" t="s">
        <v>82</v>
      </c>
      <c r="B11" s="309"/>
      <c r="C11" s="141">
        <f>SUM(C7:C10)</f>
        <v>481.73</v>
      </c>
      <c r="D11" s="141">
        <f t="shared" ref="D11:U11" si="4">SUM(D7:D10)</f>
        <v>0</v>
      </c>
      <c r="E11" s="141">
        <f t="shared" si="4"/>
        <v>0</v>
      </c>
      <c r="F11" s="141">
        <f t="shared" si="4"/>
        <v>0</v>
      </c>
      <c r="G11" s="141">
        <f t="shared" si="4"/>
        <v>82.86</v>
      </c>
      <c r="H11" s="141">
        <f t="shared" si="4"/>
        <v>481.73</v>
      </c>
      <c r="I11" s="141">
        <f t="shared" si="4"/>
        <v>2278.4839999999999</v>
      </c>
      <c r="J11" s="141">
        <f t="shared" si="4"/>
        <v>19.04</v>
      </c>
      <c r="K11" s="141">
        <f t="shared" si="4"/>
        <v>302.404</v>
      </c>
      <c r="L11" s="141">
        <f t="shared" si="4"/>
        <v>0</v>
      </c>
      <c r="M11" s="141">
        <f t="shared" si="4"/>
        <v>0</v>
      </c>
      <c r="N11" s="141">
        <f t="shared" si="4"/>
        <v>2297.5239999999999</v>
      </c>
      <c r="O11" s="141">
        <f t="shared" si="4"/>
        <v>119.66600000000001</v>
      </c>
      <c r="P11" s="141">
        <f t="shared" si="4"/>
        <v>0</v>
      </c>
      <c r="Q11" s="141">
        <f t="shared" si="4"/>
        <v>0</v>
      </c>
      <c r="R11" s="141">
        <f t="shared" si="4"/>
        <v>0</v>
      </c>
      <c r="S11" s="141">
        <f t="shared" si="4"/>
        <v>1.01</v>
      </c>
      <c r="T11" s="141">
        <f t="shared" si="4"/>
        <v>119.66600000000001</v>
      </c>
      <c r="U11" s="141">
        <f t="shared" si="4"/>
        <v>2898.9199999999996</v>
      </c>
    </row>
    <row r="12" spans="1:21" ht="38.25" customHeight="1" x14ac:dyDescent="0.35">
      <c r="A12" s="171">
        <v>4</v>
      </c>
      <c r="B12" s="231" t="s">
        <v>83</v>
      </c>
      <c r="C12" s="139">
        <f>'[7]Nov 2022'!H12</f>
        <v>141.9999999999996</v>
      </c>
      <c r="D12" s="139">
        <v>0</v>
      </c>
      <c r="E12" s="139">
        <f>'[7]Nov 2022'!E12+'[7]Dec 2022'!D12</f>
        <v>0</v>
      </c>
      <c r="F12" s="139">
        <v>0</v>
      </c>
      <c r="G12" s="139">
        <f>'[7]Nov 2022'!G12+'[7]Dec 2022'!F12</f>
        <v>213.31</v>
      </c>
      <c r="H12" s="139">
        <f t="shared" si="0"/>
        <v>141.9999999999996</v>
      </c>
      <c r="I12" s="139">
        <f>'[7]Nov 2022'!N12</f>
        <v>1149.3249999999998</v>
      </c>
      <c r="J12" s="221">
        <v>4.8499999999999996</v>
      </c>
      <c r="K12" s="139">
        <f>'[7]Nov 2022'!K12+'[7]Dec 2022'!J12</f>
        <v>243.42999999999998</v>
      </c>
      <c r="L12" s="139">
        <v>0</v>
      </c>
      <c r="M12" s="139">
        <f>'[7]Nov 2022'!M12+'[7]Dec 2022'!L12</f>
        <v>0</v>
      </c>
      <c r="N12" s="139">
        <f t="shared" si="1"/>
        <v>1154.1749999999997</v>
      </c>
      <c r="O12" s="139">
        <f>'[7]Nov 2022'!T12</f>
        <v>22.840000000000011</v>
      </c>
      <c r="P12" s="139">
        <v>0</v>
      </c>
      <c r="Q12" s="139">
        <f>'[7]Nov 2022'!Q12+'[7]Dec 2022'!P12</f>
        <v>0</v>
      </c>
      <c r="R12" s="139">
        <v>2.11</v>
      </c>
      <c r="S12" s="139">
        <f>'[7]Nov 2022'!S12+'[7]Dec 2022'!R12</f>
        <v>16.12</v>
      </c>
      <c r="T12" s="139">
        <f t="shared" si="2"/>
        <v>20.730000000000011</v>
      </c>
      <c r="U12" s="139">
        <f t="shared" si="3"/>
        <v>1316.9049999999993</v>
      </c>
    </row>
    <row r="13" spans="1:21" ht="38.25" customHeight="1" x14ac:dyDescent="0.35">
      <c r="A13" s="171">
        <v>5</v>
      </c>
      <c r="B13" s="231" t="s">
        <v>84</v>
      </c>
      <c r="C13" s="139">
        <f>'[7]Nov 2022'!H13</f>
        <v>312.23000000000013</v>
      </c>
      <c r="D13" s="139">
        <v>0</v>
      </c>
      <c r="E13" s="139">
        <f>'[7]Nov 2022'!E13+'[7]Dec 2022'!D13</f>
        <v>0</v>
      </c>
      <c r="F13" s="139">
        <v>0</v>
      </c>
      <c r="G13" s="139">
        <f>'[7]Nov 2022'!G13+'[7]Dec 2022'!F13</f>
        <v>0</v>
      </c>
      <c r="H13" s="139">
        <f t="shared" si="0"/>
        <v>312.23000000000013</v>
      </c>
      <c r="I13" s="139">
        <f>'[7]Nov 2022'!N13</f>
        <v>537.29200000000014</v>
      </c>
      <c r="J13" s="221">
        <v>2.67</v>
      </c>
      <c r="K13" s="139">
        <f>'[7]Nov 2022'!K13+'[7]Dec 2022'!J13</f>
        <v>12.13</v>
      </c>
      <c r="L13" s="139">
        <v>0</v>
      </c>
      <c r="M13" s="139">
        <f>'[7]Nov 2022'!M13+'[7]Dec 2022'!L13</f>
        <v>0.7</v>
      </c>
      <c r="N13" s="139">
        <f t="shared" si="1"/>
        <v>539.9620000000001</v>
      </c>
      <c r="O13" s="139">
        <f>'[7]Nov 2022'!T13</f>
        <v>68.39</v>
      </c>
      <c r="P13" s="139">
        <v>0</v>
      </c>
      <c r="Q13" s="139">
        <f>'[7]Nov 2022'!Q13+'[7]Dec 2022'!P13</f>
        <v>0</v>
      </c>
      <c r="R13" s="139">
        <v>0</v>
      </c>
      <c r="S13" s="139">
        <f>'[7]Nov 2022'!S13+'[7]Dec 2022'!R13</f>
        <v>0</v>
      </c>
      <c r="T13" s="139">
        <f t="shared" si="2"/>
        <v>68.39</v>
      </c>
      <c r="U13" s="139">
        <f t="shared" si="3"/>
        <v>920.58200000000022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f>'[7]Nov 2022'!H14</f>
        <v>1216.4399999999994</v>
      </c>
      <c r="D14" s="139">
        <v>0</v>
      </c>
      <c r="E14" s="139">
        <f>'[7]Nov 2022'!E14+'[7]Dec 2022'!D14</f>
        <v>0</v>
      </c>
      <c r="F14" s="139">
        <v>0</v>
      </c>
      <c r="G14" s="139">
        <f>'[7]Nov 2022'!G14+'[7]Dec 2022'!F14</f>
        <v>0</v>
      </c>
      <c r="H14" s="139">
        <f t="shared" si="0"/>
        <v>1216.4399999999994</v>
      </c>
      <c r="I14" s="139">
        <f>'[7]Nov 2022'!N14</f>
        <v>889.72800000000018</v>
      </c>
      <c r="J14" s="221">
        <v>4.63</v>
      </c>
      <c r="K14" s="139">
        <f>'[7]Nov 2022'!K14+'[7]Dec 2022'!J14</f>
        <v>29.57</v>
      </c>
      <c r="L14" s="139">
        <v>0</v>
      </c>
      <c r="M14" s="139">
        <f>'[7]Nov 2022'!M14+'[7]Dec 2022'!L14</f>
        <v>0</v>
      </c>
      <c r="N14" s="139">
        <f t="shared" si="1"/>
        <v>894.35800000000017</v>
      </c>
      <c r="O14" s="139">
        <f>'[7]Nov 2022'!T14</f>
        <v>61.329999999999991</v>
      </c>
      <c r="P14" s="139">
        <v>0</v>
      </c>
      <c r="Q14" s="139">
        <f>'[7]Nov 2022'!Q14+'[7]Dec 2022'!P14</f>
        <v>0</v>
      </c>
      <c r="R14" s="139">
        <v>0</v>
      </c>
      <c r="S14" s="139">
        <f>'[7]Nov 2022'!S14+'[7]Dec 2022'!R14</f>
        <v>0</v>
      </c>
      <c r="T14" s="139">
        <f t="shared" si="2"/>
        <v>61.329999999999991</v>
      </c>
      <c r="U14" s="139">
        <f t="shared" si="3"/>
        <v>2172.1279999999997</v>
      </c>
    </row>
    <row r="15" spans="1:21" s="111" customFormat="1" ht="38.25" customHeight="1" x14ac:dyDescent="0.4">
      <c r="A15" s="308" t="s">
        <v>86</v>
      </c>
      <c r="B15" s="309"/>
      <c r="C15" s="141">
        <f>SUM(C12:C14)</f>
        <v>1670.6699999999992</v>
      </c>
      <c r="D15" s="141">
        <f t="shared" ref="D15:U15" si="5">SUM(D12:D14)</f>
        <v>0</v>
      </c>
      <c r="E15" s="141">
        <f t="shared" si="5"/>
        <v>0</v>
      </c>
      <c r="F15" s="141">
        <f t="shared" si="5"/>
        <v>0</v>
      </c>
      <c r="G15" s="141">
        <f t="shared" si="5"/>
        <v>213.31</v>
      </c>
      <c r="H15" s="141">
        <f t="shared" si="5"/>
        <v>1670.6699999999992</v>
      </c>
      <c r="I15" s="141">
        <f t="shared" si="5"/>
        <v>2576.3450000000003</v>
      </c>
      <c r="J15" s="141">
        <f t="shared" si="5"/>
        <v>12.149999999999999</v>
      </c>
      <c r="K15" s="141">
        <f t="shared" si="5"/>
        <v>285.13</v>
      </c>
      <c r="L15" s="141">
        <f t="shared" si="5"/>
        <v>0</v>
      </c>
      <c r="M15" s="141">
        <f t="shared" si="5"/>
        <v>0.7</v>
      </c>
      <c r="N15" s="141">
        <f t="shared" si="5"/>
        <v>2588.4949999999999</v>
      </c>
      <c r="O15" s="141">
        <f t="shared" si="5"/>
        <v>152.56</v>
      </c>
      <c r="P15" s="141">
        <f t="shared" si="5"/>
        <v>0</v>
      </c>
      <c r="Q15" s="141">
        <f t="shared" si="5"/>
        <v>0</v>
      </c>
      <c r="R15" s="141">
        <f t="shared" si="5"/>
        <v>2.11</v>
      </c>
      <c r="S15" s="141">
        <f t="shared" si="5"/>
        <v>16.12</v>
      </c>
      <c r="T15" s="141">
        <f t="shared" si="5"/>
        <v>150.44999999999999</v>
      </c>
      <c r="U15" s="141">
        <f t="shared" si="5"/>
        <v>4409.6149999999998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f>'[7]Nov 2022'!H16</f>
        <v>790.86400000000037</v>
      </c>
      <c r="D16" s="139">
        <v>0.56000000000000005</v>
      </c>
      <c r="E16" s="139">
        <f>'[7]Nov 2022'!E16+'[7]Dec 2022'!D16</f>
        <v>5.9</v>
      </c>
      <c r="F16" s="139">
        <v>11.23</v>
      </c>
      <c r="G16" s="139">
        <f>'[7]Nov 2022'!G16+'[7]Dec 2022'!F16</f>
        <v>219.54999999999998</v>
      </c>
      <c r="H16" s="139">
        <f t="shared" si="0"/>
        <v>780.1940000000003</v>
      </c>
      <c r="I16" s="139">
        <f>'[7]Nov 2022'!N16</f>
        <v>572.27600000000007</v>
      </c>
      <c r="J16" s="139">
        <v>2.17</v>
      </c>
      <c r="K16" s="139">
        <f>'[7]Nov 2022'!K16+'[7]Dec 2022'!J16</f>
        <v>275.39999999999998</v>
      </c>
      <c r="L16" s="139">
        <v>0</v>
      </c>
      <c r="M16" s="139">
        <f>'[7]Nov 2022'!M16+'[7]Dec 2022'!L16</f>
        <v>0</v>
      </c>
      <c r="N16" s="139">
        <f t="shared" si="1"/>
        <v>574.44600000000003</v>
      </c>
      <c r="O16" s="139">
        <f>'[7]Nov 2022'!T16</f>
        <v>177.41200000000003</v>
      </c>
      <c r="P16" s="139">
        <v>0</v>
      </c>
      <c r="Q16" s="139">
        <f>'[7]Nov 2022'!Q16+'[7]Dec 2022'!P16</f>
        <v>0</v>
      </c>
      <c r="R16" s="139">
        <v>0</v>
      </c>
      <c r="S16" s="139">
        <f>'[7]Nov 2022'!S16+'[7]Dec 2022'!R16</f>
        <v>0</v>
      </c>
      <c r="T16" s="139">
        <f t="shared" si="2"/>
        <v>177.41200000000003</v>
      </c>
      <c r="U16" s="139">
        <f t="shared" si="3"/>
        <v>1532.0520000000004</v>
      </c>
    </row>
    <row r="17" spans="1:21" ht="38.25" customHeight="1" x14ac:dyDescent="0.35">
      <c r="A17" s="171">
        <v>9</v>
      </c>
      <c r="B17" s="231" t="s">
        <v>120</v>
      </c>
      <c r="C17" s="139">
        <f>'[7]Nov 2022'!H17</f>
        <v>2.6759999999999478</v>
      </c>
      <c r="D17" s="139">
        <v>0</v>
      </c>
      <c r="E17" s="139">
        <f>'[7]Nov 2022'!E17+'[7]Dec 2022'!D17</f>
        <v>0</v>
      </c>
      <c r="F17" s="139">
        <v>0</v>
      </c>
      <c r="G17" s="139">
        <f>'[7]Nov 2022'!G17+'[7]Dec 2022'!F17</f>
        <v>3.74</v>
      </c>
      <c r="H17" s="139">
        <f t="shared" si="0"/>
        <v>2.6759999999999478</v>
      </c>
      <c r="I17" s="139">
        <f>'[7]Nov 2022'!N17</f>
        <v>577.26</v>
      </c>
      <c r="J17" s="139">
        <v>4.75</v>
      </c>
      <c r="K17" s="139">
        <f>'[7]Nov 2022'!K17+'[7]Dec 2022'!J17</f>
        <v>70.260000000000005</v>
      </c>
      <c r="L17" s="139">
        <v>0</v>
      </c>
      <c r="M17" s="139">
        <f>'[7]Nov 2022'!M17+'[7]Dec 2022'!L17</f>
        <v>0</v>
      </c>
      <c r="N17" s="139">
        <f t="shared" si="1"/>
        <v>582.01</v>
      </c>
      <c r="O17" s="139">
        <f>'[7]Nov 2022'!T17</f>
        <v>1.9700000000000002</v>
      </c>
      <c r="P17" s="139">
        <v>0</v>
      </c>
      <c r="Q17" s="139">
        <f>'[7]Nov 2022'!Q17+'[7]Dec 2022'!P17</f>
        <v>1.3399999999999999</v>
      </c>
      <c r="R17" s="139">
        <v>0.02</v>
      </c>
      <c r="S17" s="139">
        <f>'[7]Nov 2022'!S17+'[7]Dec 2022'!R17</f>
        <v>5.72</v>
      </c>
      <c r="T17" s="139">
        <f t="shared" si="2"/>
        <v>1.9500000000000002</v>
      </c>
      <c r="U17" s="139">
        <f t="shared" si="3"/>
        <v>586.63599999999997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f>'[7]Nov 2022'!H18</f>
        <v>137.02600000000012</v>
      </c>
      <c r="D18" s="139">
        <v>0.05</v>
      </c>
      <c r="E18" s="139">
        <f>'[7]Nov 2022'!E18+'[7]Dec 2022'!D18</f>
        <v>1.3</v>
      </c>
      <c r="F18" s="139">
        <v>0</v>
      </c>
      <c r="G18" s="139">
        <f>'[7]Nov 2022'!G18+'[7]Dec 2022'!F18</f>
        <v>0</v>
      </c>
      <c r="H18" s="139">
        <f t="shared" si="0"/>
        <v>137.07600000000014</v>
      </c>
      <c r="I18" s="139">
        <f>'[7]Nov 2022'!N18</f>
        <v>493.48700000000002</v>
      </c>
      <c r="J18" s="139">
        <v>0.9</v>
      </c>
      <c r="K18" s="139">
        <f>'[7]Nov 2022'!K18+'[7]Dec 2022'!J18</f>
        <v>7.660000000000001</v>
      </c>
      <c r="L18" s="139">
        <v>0</v>
      </c>
      <c r="M18" s="139">
        <f>'[7]Nov 2022'!M18+'[7]Dec 2022'!L18</f>
        <v>0.34</v>
      </c>
      <c r="N18" s="139">
        <f t="shared" si="1"/>
        <v>494.387</v>
      </c>
      <c r="O18" s="139">
        <f>'[7]Nov 2022'!T18</f>
        <v>39.769999999999989</v>
      </c>
      <c r="P18" s="139">
        <v>0</v>
      </c>
      <c r="Q18" s="139">
        <f>'[7]Nov 2022'!Q18+'[7]Dec 2022'!P18</f>
        <v>0.89999999999999991</v>
      </c>
      <c r="R18" s="139">
        <v>0.28999999999999998</v>
      </c>
      <c r="S18" s="139">
        <f>'[7]Nov 2022'!S18+'[7]Dec 2022'!R18</f>
        <v>0.28999999999999998</v>
      </c>
      <c r="T18" s="139">
        <f t="shared" si="2"/>
        <v>39.47999999999999</v>
      </c>
      <c r="U18" s="139">
        <f t="shared" si="3"/>
        <v>670.94300000000021</v>
      </c>
    </row>
    <row r="19" spans="1:21" s="111" customFormat="1" ht="38.25" customHeight="1" x14ac:dyDescent="0.4">
      <c r="A19" s="308" t="s">
        <v>89</v>
      </c>
      <c r="B19" s="309"/>
      <c r="C19" s="141">
        <f>SUM(C16:C18)</f>
        <v>930.56600000000049</v>
      </c>
      <c r="D19" s="141">
        <f t="shared" ref="D19:U19" si="6">SUM(D16:D18)</f>
        <v>0.6100000000000001</v>
      </c>
      <c r="E19" s="141">
        <f t="shared" si="6"/>
        <v>7.2</v>
      </c>
      <c r="F19" s="141">
        <f t="shared" si="6"/>
        <v>11.23</v>
      </c>
      <c r="G19" s="141">
        <f t="shared" si="6"/>
        <v>223.29</v>
      </c>
      <c r="H19" s="141">
        <f t="shared" si="6"/>
        <v>919.94600000000037</v>
      </c>
      <c r="I19" s="141">
        <f t="shared" si="6"/>
        <v>1643.0230000000001</v>
      </c>
      <c r="J19" s="141">
        <f t="shared" si="6"/>
        <v>7.82</v>
      </c>
      <c r="K19" s="141">
        <f t="shared" si="6"/>
        <v>353.32</v>
      </c>
      <c r="L19" s="141">
        <f t="shared" si="6"/>
        <v>0</v>
      </c>
      <c r="M19" s="141">
        <f t="shared" si="6"/>
        <v>0.34</v>
      </c>
      <c r="N19" s="141">
        <f t="shared" si="6"/>
        <v>1650.8430000000001</v>
      </c>
      <c r="O19" s="141">
        <f t="shared" si="6"/>
        <v>219.15200000000002</v>
      </c>
      <c r="P19" s="141">
        <f t="shared" si="6"/>
        <v>0</v>
      </c>
      <c r="Q19" s="141">
        <f t="shared" si="6"/>
        <v>2.2399999999999998</v>
      </c>
      <c r="R19" s="141">
        <f t="shared" si="6"/>
        <v>0.31</v>
      </c>
      <c r="S19" s="141">
        <f t="shared" si="6"/>
        <v>6.01</v>
      </c>
      <c r="T19" s="141">
        <f t="shared" si="6"/>
        <v>218.84200000000001</v>
      </c>
      <c r="U19" s="141">
        <f t="shared" si="6"/>
        <v>2789.6310000000003</v>
      </c>
    </row>
    <row r="20" spans="1:21" ht="38.25" customHeight="1" x14ac:dyDescent="0.35">
      <c r="A20" s="171">
        <v>8</v>
      </c>
      <c r="B20" s="231" t="s">
        <v>91</v>
      </c>
      <c r="C20" s="139">
        <f>'[7]Nov 2022'!H20</f>
        <v>607.27999999999986</v>
      </c>
      <c r="D20" s="139">
        <v>0</v>
      </c>
      <c r="E20" s="139">
        <f>'[7]Nov 2022'!E20+'[7]Dec 2022'!D20</f>
        <v>1.62</v>
      </c>
      <c r="F20" s="139">
        <v>0</v>
      </c>
      <c r="G20" s="139">
        <f>'[7]Nov 2022'!G20+'[7]Dec 2022'!F20</f>
        <v>24.91</v>
      </c>
      <c r="H20" s="139">
        <f t="shared" si="0"/>
        <v>607.27999999999986</v>
      </c>
      <c r="I20" s="139">
        <f>'[7]Nov 2022'!N20</f>
        <v>729.18800000000022</v>
      </c>
      <c r="J20" s="139">
        <v>2.59</v>
      </c>
      <c r="K20" s="139">
        <f>'[7]Nov 2022'!K20+'[7]Dec 2022'!J20</f>
        <v>333.63</v>
      </c>
      <c r="L20" s="139">
        <v>0</v>
      </c>
      <c r="M20" s="139">
        <f>'[7]Nov 2022'!M20+'[7]Dec 2022'!L20</f>
        <v>1.04</v>
      </c>
      <c r="N20" s="139">
        <f t="shared" si="1"/>
        <v>731.77800000000025</v>
      </c>
      <c r="O20" s="139">
        <f>'[7]Nov 2022'!T20</f>
        <v>37.580000000000005</v>
      </c>
      <c r="P20" s="139">
        <v>0</v>
      </c>
      <c r="Q20" s="139">
        <f>'[7]Nov 2022'!Q20+'[7]Dec 2022'!P20</f>
        <v>0</v>
      </c>
      <c r="R20" s="139">
        <v>0</v>
      </c>
      <c r="S20" s="139">
        <f>'[7]Nov 2022'!S20+'[7]Dec 2022'!R20</f>
        <v>2.77</v>
      </c>
      <c r="T20" s="139">
        <f t="shared" si="2"/>
        <v>37.580000000000005</v>
      </c>
      <c r="U20" s="139">
        <f t="shared" si="3"/>
        <v>1376.6379999999999</v>
      </c>
    </row>
    <row r="21" spans="1:21" ht="38.25" customHeight="1" x14ac:dyDescent="0.35">
      <c r="A21" s="171">
        <v>9</v>
      </c>
      <c r="B21" s="231" t="s">
        <v>90</v>
      </c>
      <c r="C21" s="139">
        <f>'[7]Nov 2022'!H21</f>
        <v>22.51</v>
      </c>
      <c r="D21" s="139">
        <v>0</v>
      </c>
      <c r="E21" s="139">
        <f>'[7]Nov 2022'!E21+'[7]Dec 2022'!D21</f>
        <v>0</v>
      </c>
      <c r="F21" s="139">
        <v>0</v>
      </c>
      <c r="G21" s="139">
        <f>'[7]Nov 2022'!G21+'[7]Dec 2022'!F21</f>
        <v>0</v>
      </c>
      <c r="H21" s="139">
        <f t="shared" si="0"/>
        <v>22.51</v>
      </c>
      <c r="I21" s="139">
        <f>'[7]Nov 2022'!N21</f>
        <v>422.59700000000009</v>
      </c>
      <c r="J21" s="139">
        <v>1.77</v>
      </c>
      <c r="K21" s="139">
        <f>'[7]Nov 2022'!K21+'[7]Dec 2022'!J21</f>
        <v>26.25</v>
      </c>
      <c r="L21" s="139">
        <v>0</v>
      </c>
      <c r="M21" s="139">
        <f>'[7]Nov 2022'!M21+'[7]Dec 2022'!L21</f>
        <v>0</v>
      </c>
      <c r="N21" s="139">
        <f t="shared" si="1"/>
        <v>424.36700000000008</v>
      </c>
      <c r="O21" s="139">
        <f>'[7]Nov 2022'!T21</f>
        <v>19.489999999999998</v>
      </c>
      <c r="P21" s="139">
        <v>0</v>
      </c>
      <c r="Q21" s="139">
        <f>'[7]Nov 2022'!Q21+'[7]Dec 2022'!P21</f>
        <v>0.12</v>
      </c>
      <c r="R21" s="139">
        <v>0</v>
      </c>
      <c r="S21" s="139">
        <f>'[7]Nov 2022'!S21+'[7]Dec 2022'!R21</f>
        <v>0</v>
      </c>
      <c r="T21" s="139">
        <f t="shared" si="2"/>
        <v>19.489999999999998</v>
      </c>
      <c r="U21" s="139">
        <f t="shared" si="3"/>
        <v>466.36700000000008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f>'[7]Nov 2022'!H22</f>
        <v>22.430000000000021</v>
      </c>
      <c r="D22" s="139">
        <v>0</v>
      </c>
      <c r="E22" s="139">
        <f>'[7]Nov 2022'!E22+'[7]Dec 2022'!D22</f>
        <v>0</v>
      </c>
      <c r="F22" s="139">
        <v>0</v>
      </c>
      <c r="G22" s="139">
        <f>'[7]Nov 2022'!G22+'[7]Dec 2022'!F22</f>
        <v>0</v>
      </c>
      <c r="H22" s="139">
        <f t="shared" si="0"/>
        <v>22.430000000000021</v>
      </c>
      <c r="I22" s="139">
        <f>'[7]Nov 2022'!N22</f>
        <v>695.25000000000011</v>
      </c>
      <c r="J22" s="139">
        <v>1.7</v>
      </c>
      <c r="K22" s="139">
        <f>'[7]Nov 2022'!K22+'[7]Dec 2022'!J22</f>
        <v>8.0599999999999987</v>
      </c>
      <c r="L22" s="139">
        <v>0</v>
      </c>
      <c r="M22" s="139">
        <f>'[7]Nov 2022'!M22+'[7]Dec 2022'!L22</f>
        <v>0.08</v>
      </c>
      <c r="N22" s="139">
        <f t="shared" si="1"/>
        <v>696.95000000000016</v>
      </c>
      <c r="O22" s="139">
        <f>'[7]Nov 2022'!T22</f>
        <v>0.60000000000000098</v>
      </c>
      <c r="P22" s="139">
        <v>0</v>
      </c>
      <c r="Q22" s="139">
        <f>'[7]Nov 2022'!Q22+'[7]Dec 2022'!P22</f>
        <v>0</v>
      </c>
      <c r="R22" s="139">
        <v>0</v>
      </c>
      <c r="S22" s="139">
        <f>'[7]Nov 2022'!S22+'[7]Dec 2022'!R22</f>
        <v>0</v>
      </c>
      <c r="T22" s="139">
        <f t="shared" si="2"/>
        <v>0.60000000000000098</v>
      </c>
      <c r="U22" s="139">
        <f t="shared" si="3"/>
        <v>719.98000000000025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f>'[7]Nov 2022'!H23</f>
        <v>430.64</v>
      </c>
      <c r="D23" s="139">
        <v>0</v>
      </c>
      <c r="E23" s="139">
        <f>'[7]Nov 2022'!E23+'[7]Dec 2022'!D23</f>
        <v>3.4</v>
      </c>
      <c r="F23" s="139">
        <v>0</v>
      </c>
      <c r="G23" s="139">
        <f>'[7]Nov 2022'!G23+'[7]Dec 2022'!F23</f>
        <v>0</v>
      </c>
      <c r="H23" s="139">
        <f t="shared" si="0"/>
        <v>430.64</v>
      </c>
      <c r="I23" s="139">
        <f>'[7]Nov 2022'!N23</f>
        <v>125.325</v>
      </c>
      <c r="J23" s="139">
        <v>1.71</v>
      </c>
      <c r="K23" s="139">
        <f>'[7]Nov 2022'!K23+'[7]Dec 2022'!J23</f>
        <v>25.150000000000002</v>
      </c>
      <c r="L23" s="139">
        <v>0</v>
      </c>
      <c r="M23" s="139">
        <f>'[7]Nov 2022'!M23+'[7]Dec 2022'!L23</f>
        <v>0</v>
      </c>
      <c r="N23" s="139">
        <f t="shared" si="1"/>
        <v>127.035</v>
      </c>
      <c r="O23" s="139">
        <f>'[7]Nov 2022'!T23</f>
        <v>22.5</v>
      </c>
      <c r="P23" s="139">
        <v>0</v>
      </c>
      <c r="Q23" s="139">
        <f>'[7]Nov 2022'!Q23+'[7]Dec 2022'!P23</f>
        <v>0</v>
      </c>
      <c r="R23" s="139">
        <v>0</v>
      </c>
      <c r="S23" s="139">
        <f>'[7]Nov 2022'!S23+'[7]Dec 2022'!R23</f>
        <v>0</v>
      </c>
      <c r="T23" s="139">
        <f t="shared" si="2"/>
        <v>22.5</v>
      </c>
      <c r="U23" s="139">
        <f t="shared" si="3"/>
        <v>580.17499999999995</v>
      </c>
    </row>
    <row r="24" spans="1:21" s="111" customFormat="1" ht="38.25" customHeight="1" x14ac:dyDescent="0.4">
      <c r="A24" s="313" t="s">
        <v>94</v>
      </c>
      <c r="B24" s="313"/>
      <c r="C24" s="141">
        <f>SUM(C20:C23)</f>
        <v>1082.8599999999999</v>
      </c>
      <c r="D24" s="141">
        <f t="shared" ref="D24:U24" si="7">SUM(D20:D23)</f>
        <v>0</v>
      </c>
      <c r="E24" s="141">
        <f t="shared" si="7"/>
        <v>5.0199999999999996</v>
      </c>
      <c r="F24" s="141">
        <f t="shared" si="7"/>
        <v>0</v>
      </c>
      <c r="G24" s="141">
        <f t="shared" si="7"/>
        <v>24.91</v>
      </c>
      <c r="H24" s="141">
        <f t="shared" si="7"/>
        <v>1082.8599999999999</v>
      </c>
      <c r="I24" s="141">
        <f t="shared" si="7"/>
        <v>1972.3600000000004</v>
      </c>
      <c r="J24" s="141">
        <f t="shared" si="7"/>
        <v>7.77</v>
      </c>
      <c r="K24" s="141">
        <f t="shared" si="7"/>
        <v>393.09</v>
      </c>
      <c r="L24" s="141">
        <f t="shared" si="7"/>
        <v>0</v>
      </c>
      <c r="M24" s="141">
        <f t="shared" si="7"/>
        <v>1.1200000000000001</v>
      </c>
      <c r="N24" s="141">
        <f t="shared" si="7"/>
        <v>1980.1300000000008</v>
      </c>
      <c r="O24" s="141">
        <f t="shared" si="7"/>
        <v>80.170000000000016</v>
      </c>
      <c r="P24" s="141">
        <f t="shared" si="7"/>
        <v>0</v>
      </c>
      <c r="Q24" s="141">
        <f t="shared" si="7"/>
        <v>0.12</v>
      </c>
      <c r="R24" s="141">
        <f t="shared" si="7"/>
        <v>0</v>
      </c>
      <c r="S24" s="141">
        <f t="shared" si="7"/>
        <v>2.77</v>
      </c>
      <c r="T24" s="141">
        <f t="shared" si="7"/>
        <v>80.170000000000016</v>
      </c>
      <c r="U24" s="141">
        <f t="shared" si="7"/>
        <v>3143.1600000000008</v>
      </c>
    </row>
    <row r="25" spans="1:21" s="145" customFormat="1" ht="38.25" customHeight="1" x14ac:dyDescent="0.4">
      <c r="A25" s="308" t="s">
        <v>95</v>
      </c>
      <c r="B25" s="309"/>
      <c r="C25" s="141">
        <f>C24+C19+C15+C11</f>
        <v>4165.8259999999991</v>
      </c>
      <c r="D25" s="141">
        <f t="shared" ref="D25:U25" si="8">D24+D19+D15+D11</f>
        <v>0.6100000000000001</v>
      </c>
      <c r="E25" s="141">
        <f t="shared" si="8"/>
        <v>12.219999999999999</v>
      </c>
      <c r="F25" s="141">
        <f t="shared" si="8"/>
        <v>11.23</v>
      </c>
      <c r="G25" s="141">
        <f t="shared" si="8"/>
        <v>544.37</v>
      </c>
      <c r="H25" s="141">
        <f t="shared" si="8"/>
        <v>4155.2060000000001</v>
      </c>
      <c r="I25" s="141">
        <f t="shared" si="8"/>
        <v>8470.2120000000014</v>
      </c>
      <c r="J25" s="141">
        <f t="shared" si="8"/>
        <v>46.78</v>
      </c>
      <c r="K25" s="141">
        <f t="shared" si="8"/>
        <v>1333.944</v>
      </c>
      <c r="L25" s="141">
        <f t="shared" si="8"/>
        <v>0</v>
      </c>
      <c r="M25" s="141">
        <f t="shared" si="8"/>
        <v>2.16</v>
      </c>
      <c r="N25" s="141">
        <f t="shared" si="8"/>
        <v>8516.9920000000002</v>
      </c>
      <c r="O25" s="141">
        <f t="shared" si="8"/>
        <v>571.548</v>
      </c>
      <c r="P25" s="141">
        <f t="shared" si="8"/>
        <v>0</v>
      </c>
      <c r="Q25" s="141">
        <f t="shared" si="8"/>
        <v>2.36</v>
      </c>
      <c r="R25" s="141">
        <f t="shared" si="8"/>
        <v>2.42</v>
      </c>
      <c r="S25" s="141">
        <f t="shared" si="8"/>
        <v>25.91</v>
      </c>
      <c r="T25" s="141">
        <f t="shared" si="8"/>
        <v>569.12800000000004</v>
      </c>
      <c r="U25" s="141">
        <f t="shared" si="8"/>
        <v>13241.326000000001</v>
      </c>
    </row>
    <row r="26" spans="1:21" ht="38.25" customHeight="1" x14ac:dyDescent="0.35">
      <c r="A26" s="171">
        <v>15</v>
      </c>
      <c r="B26" s="231" t="s">
        <v>96</v>
      </c>
      <c r="C26" s="139">
        <f>'[7]Nov 2022'!H26</f>
        <v>1597.26</v>
      </c>
      <c r="D26" s="139">
        <v>1.98</v>
      </c>
      <c r="E26" s="139">
        <f>'[7]Nov 2022'!E26+'[7]Dec 2022'!D26</f>
        <v>46.259999999999991</v>
      </c>
      <c r="F26" s="139">
        <v>0</v>
      </c>
      <c r="G26" s="139">
        <f>'[7]Nov 2022'!G26+'[7]Dec 2022'!F26</f>
        <v>0</v>
      </c>
      <c r="H26" s="139">
        <f t="shared" si="0"/>
        <v>1599.24</v>
      </c>
      <c r="I26" s="139">
        <f>'[7]Nov 2022'!N26</f>
        <v>84.649999999999991</v>
      </c>
      <c r="J26" s="139">
        <v>18.329999999999998</v>
      </c>
      <c r="K26" s="139">
        <f>'[7]Nov 2022'!K26+'[7]Dec 2022'!J26</f>
        <v>35.65</v>
      </c>
      <c r="L26" s="139">
        <v>0</v>
      </c>
      <c r="M26" s="139">
        <f>'[7]Nov 2022'!M26+'[7]Dec 2022'!L26</f>
        <v>0</v>
      </c>
      <c r="N26" s="139">
        <f t="shared" si="1"/>
        <v>102.97999999999999</v>
      </c>
      <c r="O26" s="139">
        <f>'[7]Nov 2022'!T26</f>
        <v>16.11</v>
      </c>
      <c r="P26" s="139">
        <v>0.15</v>
      </c>
      <c r="Q26" s="139">
        <f>'[7]Nov 2022'!Q26+'[7]Dec 2022'!P26</f>
        <v>0.15</v>
      </c>
      <c r="R26" s="139">
        <v>0</v>
      </c>
      <c r="S26" s="139">
        <f>'[7]Nov 2022'!S26+'[7]Dec 2022'!R26</f>
        <v>0</v>
      </c>
      <c r="T26" s="139">
        <f t="shared" si="2"/>
        <v>16.259999999999998</v>
      </c>
      <c r="U26" s="139">
        <f t="shared" si="3"/>
        <v>1718.48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f>'[7]Nov 2022'!H27</f>
        <v>5665.8950000000041</v>
      </c>
      <c r="D27" s="139">
        <v>6.26</v>
      </c>
      <c r="E27" s="139">
        <f>'[7]Nov 2022'!E27+'[7]Dec 2022'!D27</f>
        <v>95.45</v>
      </c>
      <c r="F27" s="139">
        <v>0</v>
      </c>
      <c r="G27" s="139">
        <f>'[7]Nov 2022'!G27+'[7]Dec 2022'!F27</f>
        <v>0</v>
      </c>
      <c r="H27" s="139">
        <f t="shared" si="0"/>
        <v>5672.1550000000043</v>
      </c>
      <c r="I27" s="139">
        <f>'[7]Nov 2022'!N27</f>
        <v>609.97799999999995</v>
      </c>
      <c r="J27" s="139">
        <v>7.12</v>
      </c>
      <c r="K27" s="139">
        <f>'[7]Nov 2022'!K27+'[7]Dec 2022'!J27</f>
        <v>22.910000000000004</v>
      </c>
      <c r="L27" s="139">
        <v>0</v>
      </c>
      <c r="M27" s="139">
        <f>'[7]Nov 2022'!M27+'[7]Dec 2022'!L27</f>
        <v>0</v>
      </c>
      <c r="N27" s="139">
        <f t="shared" si="1"/>
        <v>617.09799999999996</v>
      </c>
      <c r="O27" s="139">
        <f>'[7]Nov 2022'!T27</f>
        <v>33.590000000000003</v>
      </c>
      <c r="P27" s="139">
        <v>0</v>
      </c>
      <c r="Q27" s="139">
        <f>'[7]Nov 2022'!Q27+'[7]Dec 2022'!P27</f>
        <v>0.1</v>
      </c>
      <c r="R27" s="139">
        <v>0</v>
      </c>
      <c r="S27" s="139">
        <f>'[7]Nov 2022'!S27+'[7]Dec 2022'!R27</f>
        <v>0</v>
      </c>
      <c r="T27" s="139">
        <f t="shared" si="2"/>
        <v>33.590000000000003</v>
      </c>
      <c r="U27" s="139">
        <f t="shared" si="3"/>
        <v>6322.8430000000044</v>
      </c>
    </row>
    <row r="28" spans="1:21" s="111" customFormat="1" ht="38.25" customHeight="1" x14ac:dyDescent="0.4">
      <c r="A28" s="313" t="s">
        <v>98</v>
      </c>
      <c r="B28" s="313"/>
      <c r="C28" s="141">
        <f>SUM(C26:C27)</f>
        <v>7263.1550000000043</v>
      </c>
      <c r="D28" s="141">
        <f t="shared" ref="D28:U28" si="9">SUM(D26:D27)</f>
        <v>8.24</v>
      </c>
      <c r="E28" s="141">
        <f t="shared" si="9"/>
        <v>141.70999999999998</v>
      </c>
      <c r="F28" s="141">
        <f t="shared" si="9"/>
        <v>0</v>
      </c>
      <c r="G28" s="141">
        <f t="shared" si="9"/>
        <v>0</v>
      </c>
      <c r="H28" s="141">
        <f t="shared" si="9"/>
        <v>7271.3950000000041</v>
      </c>
      <c r="I28" s="141">
        <f t="shared" si="9"/>
        <v>694.62799999999993</v>
      </c>
      <c r="J28" s="141">
        <f t="shared" si="9"/>
        <v>25.45</v>
      </c>
      <c r="K28" s="141">
        <f t="shared" si="9"/>
        <v>58.56</v>
      </c>
      <c r="L28" s="141">
        <f t="shared" si="9"/>
        <v>0</v>
      </c>
      <c r="M28" s="141">
        <f t="shared" si="9"/>
        <v>0</v>
      </c>
      <c r="N28" s="141">
        <f t="shared" si="9"/>
        <v>720.07799999999997</v>
      </c>
      <c r="O28" s="141">
        <f t="shared" si="9"/>
        <v>49.7</v>
      </c>
      <c r="P28" s="141">
        <f t="shared" si="9"/>
        <v>0.15</v>
      </c>
      <c r="Q28" s="141">
        <f t="shared" si="9"/>
        <v>0.25</v>
      </c>
      <c r="R28" s="141">
        <f t="shared" si="9"/>
        <v>0</v>
      </c>
      <c r="S28" s="141">
        <f t="shared" si="9"/>
        <v>0</v>
      </c>
      <c r="T28" s="141">
        <f t="shared" si="9"/>
        <v>49.85</v>
      </c>
      <c r="U28" s="141">
        <f t="shared" si="9"/>
        <v>8041.323000000004</v>
      </c>
    </row>
    <row r="29" spans="1:21" ht="38.25" customHeight="1" x14ac:dyDescent="0.35">
      <c r="A29" s="171">
        <v>17</v>
      </c>
      <c r="B29" s="231" t="s">
        <v>99</v>
      </c>
      <c r="C29" s="139">
        <f>'[7]Nov 2022'!H29</f>
        <v>4826.3180000000011</v>
      </c>
      <c r="D29" s="139">
        <f>6.98+42.2</f>
        <v>49.180000000000007</v>
      </c>
      <c r="E29" s="139">
        <f>'[7]Nov 2022'!E29+'[7]Dec 2022'!D29</f>
        <v>216.81</v>
      </c>
      <c r="F29" s="139">
        <v>0</v>
      </c>
      <c r="G29" s="139">
        <f>'[7]Nov 2022'!G29+'[7]Dec 2022'!F29</f>
        <v>0</v>
      </c>
      <c r="H29" s="139">
        <f t="shared" si="0"/>
        <v>4875.4980000000014</v>
      </c>
      <c r="I29" s="139">
        <f>'[7]Nov 2022'!N29</f>
        <v>120.86000000000001</v>
      </c>
      <c r="J29" s="139">
        <v>0.23</v>
      </c>
      <c r="K29" s="139">
        <f>'[7]Nov 2022'!K29+'[7]Dec 2022'!J29</f>
        <v>1.7000000000000002</v>
      </c>
      <c r="L29" s="139">
        <v>0</v>
      </c>
      <c r="M29" s="139">
        <f>'[7]Nov 2022'!M29+'[7]Dec 2022'!L29</f>
        <v>0</v>
      </c>
      <c r="N29" s="139">
        <f t="shared" si="1"/>
        <v>121.09000000000002</v>
      </c>
      <c r="O29" s="139">
        <f>'[7]Nov 2022'!T29</f>
        <v>34.52000000000001</v>
      </c>
      <c r="P29" s="139">
        <v>0</v>
      </c>
      <c r="Q29" s="139">
        <f>'[7]Nov 2022'!Q29+'[7]Dec 2022'!P29</f>
        <v>0</v>
      </c>
      <c r="R29" s="139">
        <v>0</v>
      </c>
      <c r="S29" s="139">
        <f>'[7]Nov 2022'!S29+'[7]Dec 2022'!R29</f>
        <v>23.2</v>
      </c>
      <c r="T29" s="139">
        <f t="shared" si="2"/>
        <v>34.52000000000001</v>
      </c>
      <c r="U29" s="139">
        <f t="shared" si="3"/>
        <v>5031.108000000002</v>
      </c>
    </row>
    <row r="30" spans="1:21" ht="38.25" customHeight="1" x14ac:dyDescent="0.35">
      <c r="A30" s="171">
        <v>18</v>
      </c>
      <c r="B30" s="231" t="s">
        <v>100</v>
      </c>
      <c r="C30" s="139">
        <f>'[7]Nov 2022'!H30</f>
        <v>3663.3499999999995</v>
      </c>
      <c r="D30" s="139">
        <v>7.77</v>
      </c>
      <c r="E30" s="139">
        <f>'[7]Nov 2022'!E30+'[7]Dec 2022'!D30</f>
        <v>58.780000000000015</v>
      </c>
      <c r="F30" s="139">
        <v>0</v>
      </c>
      <c r="G30" s="139">
        <f>'[7]Nov 2022'!G30+'[7]Dec 2022'!F30</f>
        <v>0</v>
      </c>
      <c r="H30" s="139">
        <f t="shared" si="0"/>
        <v>3671.1199999999994</v>
      </c>
      <c r="I30" s="139">
        <f>'[7]Nov 2022'!N30</f>
        <v>198.58699999999999</v>
      </c>
      <c r="J30" s="139">
        <v>0</v>
      </c>
      <c r="K30" s="139">
        <f>'[7]Nov 2022'!K30+'[7]Dec 2022'!J30</f>
        <v>88</v>
      </c>
      <c r="L30" s="139">
        <v>0</v>
      </c>
      <c r="M30" s="139">
        <f>'[7]Nov 2022'!M30+'[7]Dec 2022'!L30</f>
        <v>0</v>
      </c>
      <c r="N30" s="139">
        <f t="shared" si="1"/>
        <v>198.58699999999999</v>
      </c>
      <c r="O30" s="139">
        <f>'[7]Nov 2022'!T30</f>
        <v>23.25</v>
      </c>
      <c r="P30" s="139">
        <v>0</v>
      </c>
      <c r="Q30" s="139">
        <f>'[7]Nov 2022'!Q30+'[7]Dec 2022'!P30</f>
        <v>0</v>
      </c>
      <c r="R30" s="139">
        <v>0</v>
      </c>
      <c r="S30" s="139">
        <f>'[7]Nov 2022'!S30+'[7]Dec 2022'!R30</f>
        <v>0</v>
      </c>
      <c r="T30" s="139">
        <f t="shared" si="2"/>
        <v>23.25</v>
      </c>
      <c r="U30" s="139">
        <f t="shared" si="3"/>
        <v>3892.9569999999994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f>'[7]Nov 2022'!H31</f>
        <v>4692.5170000000007</v>
      </c>
      <c r="D31" s="139">
        <v>0.03</v>
      </c>
      <c r="E31" s="139">
        <f>'[7]Nov 2022'!E31+'[7]Dec 2022'!D31</f>
        <v>26.968000000000004</v>
      </c>
      <c r="F31" s="139">
        <v>0</v>
      </c>
      <c r="G31" s="139">
        <f>'[7]Nov 2022'!G31+'[7]Dec 2022'!F31</f>
        <v>0</v>
      </c>
      <c r="H31" s="139">
        <f t="shared" si="0"/>
        <v>4692.5470000000005</v>
      </c>
      <c r="I31" s="139">
        <f>'[7]Nov 2022'!N31</f>
        <v>107.63000000000002</v>
      </c>
      <c r="J31" s="139">
        <v>0.06</v>
      </c>
      <c r="K31" s="139">
        <f>'[7]Nov 2022'!K31+'[7]Dec 2022'!J31</f>
        <v>0.06</v>
      </c>
      <c r="L31" s="139">
        <v>0</v>
      </c>
      <c r="M31" s="139">
        <f>'[7]Nov 2022'!M31+'[7]Dec 2022'!L31</f>
        <v>0</v>
      </c>
      <c r="N31" s="139">
        <f t="shared" si="1"/>
        <v>107.69000000000003</v>
      </c>
      <c r="O31" s="139">
        <f>'[7]Nov 2022'!T31</f>
        <v>14.850000000000001</v>
      </c>
      <c r="P31" s="139">
        <v>0</v>
      </c>
      <c r="Q31" s="139">
        <f>'[7]Nov 2022'!Q31+'[7]Dec 2022'!P31</f>
        <v>0</v>
      </c>
      <c r="R31" s="139">
        <v>0</v>
      </c>
      <c r="S31" s="139">
        <f>'[7]Nov 2022'!S31+'[7]Dec 2022'!R31</f>
        <v>0</v>
      </c>
      <c r="T31" s="139">
        <f t="shared" si="2"/>
        <v>14.850000000000001</v>
      </c>
      <c r="U31" s="139">
        <f t="shared" si="3"/>
        <v>4815.0870000000004</v>
      </c>
    </row>
    <row r="32" spans="1:21" ht="38.25" customHeight="1" x14ac:dyDescent="0.35">
      <c r="A32" s="171">
        <v>20</v>
      </c>
      <c r="B32" s="231" t="s">
        <v>102</v>
      </c>
      <c r="C32" s="139">
        <f>'[7]Nov 2022'!H32</f>
        <v>2352.3057999999996</v>
      </c>
      <c r="D32" s="139">
        <v>1.37</v>
      </c>
      <c r="E32" s="139">
        <f>'[7]Nov 2022'!E32+'[7]Dec 2022'!D32</f>
        <v>20.540000000000003</v>
      </c>
      <c r="F32" s="139">
        <v>0</v>
      </c>
      <c r="G32" s="139">
        <f>'[7]Nov 2022'!G32+'[7]Dec 2022'!F32</f>
        <v>9.7200000000000006</v>
      </c>
      <c r="H32" s="139">
        <f t="shared" si="0"/>
        <v>2353.6757999999995</v>
      </c>
      <c r="I32" s="139">
        <f>'[7]Nov 2022'!N32</f>
        <v>87.596000000000004</v>
      </c>
      <c r="J32" s="139">
        <v>1.1399999999999999</v>
      </c>
      <c r="K32" s="139">
        <f>'[7]Nov 2022'!K32+'[7]Dec 2022'!J32</f>
        <v>5.97</v>
      </c>
      <c r="L32" s="139">
        <v>0</v>
      </c>
      <c r="M32" s="139">
        <f>'[7]Nov 2022'!M32+'[7]Dec 2022'!L32</f>
        <v>0</v>
      </c>
      <c r="N32" s="139">
        <f t="shared" si="1"/>
        <v>88.736000000000004</v>
      </c>
      <c r="O32" s="139">
        <f>'[7]Nov 2022'!T32</f>
        <v>67.551999999999992</v>
      </c>
      <c r="P32" s="139">
        <v>0</v>
      </c>
      <c r="Q32" s="139">
        <f>'[7]Nov 2022'!Q32+'[7]Dec 2022'!P32</f>
        <v>0</v>
      </c>
      <c r="R32" s="139">
        <v>0</v>
      </c>
      <c r="S32" s="139">
        <f>'[7]Nov 2022'!S32+'[7]Dec 2022'!R32</f>
        <v>0</v>
      </c>
      <c r="T32" s="139">
        <f t="shared" si="2"/>
        <v>67.551999999999992</v>
      </c>
      <c r="U32" s="139">
        <f t="shared" si="3"/>
        <v>2509.9637999999995</v>
      </c>
    </row>
    <row r="33" spans="1:21" s="111" customFormat="1" ht="38.25" customHeight="1" x14ac:dyDescent="0.4">
      <c r="A33" s="313" t="s">
        <v>99</v>
      </c>
      <c r="B33" s="313"/>
      <c r="C33" s="141">
        <f>SUM(C29:C32)</f>
        <v>15534.490800000001</v>
      </c>
      <c r="D33" s="141">
        <f t="shared" ref="D33:U33" si="10">SUM(D29:D32)</f>
        <v>58.35</v>
      </c>
      <c r="E33" s="141">
        <f t="shared" si="10"/>
        <v>323.09800000000007</v>
      </c>
      <c r="F33" s="141">
        <f t="shared" si="10"/>
        <v>0</v>
      </c>
      <c r="G33" s="141">
        <f t="shared" si="10"/>
        <v>9.7200000000000006</v>
      </c>
      <c r="H33" s="141">
        <f t="shared" si="10"/>
        <v>15592.8408</v>
      </c>
      <c r="I33" s="141">
        <f t="shared" si="10"/>
        <v>514.673</v>
      </c>
      <c r="J33" s="141">
        <f t="shared" si="10"/>
        <v>1.43</v>
      </c>
      <c r="K33" s="141">
        <f t="shared" si="10"/>
        <v>95.73</v>
      </c>
      <c r="L33" s="141">
        <f t="shared" si="10"/>
        <v>0</v>
      </c>
      <c r="M33" s="141">
        <f t="shared" si="10"/>
        <v>0</v>
      </c>
      <c r="N33" s="141">
        <f t="shared" si="10"/>
        <v>516.10300000000007</v>
      </c>
      <c r="O33" s="141">
        <f t="shared" si="10"/>
        <v>140.172</v>
      </c>
      <c r="P33" s="141">
        <f t="shared" si="10"/>
        <v>0</v>
      </c>
      <c r="Q33" s="141">
        <f t="shared" si="10"/>
        <v>0</v>
      </c>
      <c r="R33" s="141">
        <f t="shared" si="10"/>
        <v>0</v>
      </c>
      <c r="S33" s="141">
        <f t="shared" si="10"/>
        <v>23.2</v>
      </c>
      <c r="T33" s="141">
        <f t="shared" si="10"/>
        <v>140.172</v>
      </c>
      <c r="U33" s="141">
        <f t="shared" si="10"/>
        <v>16249.115800000001</v>
      </c>
    </row>
    <row r="34" spans="1:21" ht="38.25" customHeight="1" x14ac:dyDescent="0.35">
      <c r="A34" s="171">
        <v>21</v>
      </c>
      <c r="B34" s="231" t="s">
        <v>103</v>
      </c>
      <c r="C34" s="139">
        <f>'[7]Nov 2022'!H34</f>
        <v>4562.97</v>
      </c>
      <c r="D34" s="139">
        <v>6.65</v>
      </c>
      <c r="E34" s="139">
        <f>'[7]Nov 2022'!E34+'[7]Dec 2022'!D34</f>
        <v>140.40999999999997</v>
      </c>
      <c r="F34" s="139">
        <v>0</v>
      </c>
      <c r="G34" s="139">
        <f>'[7]Nov 2022'!G34+'[7]Dec 2022'!F34</f>
        <v>9.89</v>
      </c>
      <c r="H34" s="139">
        <f t="shared" si="0"/>
        <v>4569.62</v>
      </c>
      <c r="I34" s="139">
        <f>'[7]Nov 2022'!N34</f>
        <v>106.78999999999999</v>
      </c>
      <c r="J34" s="139">
        <v>0.6</v>
      </c>
      <c r="K34" s="139">
        <f>'[7]Nov 2022'!K34+'[7]Dec 2022'!J34</f>
        <v>107.38999999999999</v>
      </c>
      <c r="L34" s="139">
        <v>0</v>
      </c>
      <c r="M34" s="139">
        <f>'[7]Nov 2022'!M34+'[7]Dec 2022'!L34</f>
        <v>0</v>
      </c>
      <c r="N34" s="139">
        <f t="shared" si="1"/>
        <v>107.38999999999999</v>
      </c>
      <c r="O34" s="139">
        <f>'[7]Nov 2022'!T34</f>
        <v>72.7</v>
      </c>
      <c r="P34" s="139">
        <v>0</v>
      </c>
      <c r="Q34" s="139">
        <f>'[7]Nov 2022'!Q34+'[7]Dec 2022'!P34</f>
        <v>72.7</v>
      </c>
      <c r="R34" s="139">
        <v>0</v>
      </c>
      <c r="S34" s="139">
        <f>'[7]Nov 2022'!S34+'[7]Dec 2022'!R34</f>
        <v>0</v>
      </c>
      <c r="T34" s="139">
        <f t="shared" si="2"/>
        <v>72.7</v>
      </c>
      <c r="U34" s="139">
        <f t="shared" si="3"/>
        <v>4749.71</v>
      </c>
    </row>
    <row r="35" spans="1:21" ht="38.25" customHeight="1" x14ac:dyDescent="0.35">
      <c r="A35" s="171">
        <v>22</v>
      </c>
      <c r="B35" s="231" t="s">
        <v>104</v>
      </c>
      <c r="C35" s="139">
        <f>'[7]Nov 2022'!H35</f>
        <v>6542.069999999997</v>
      </c>
      <c r="D35" s="139">
        <v>45.56</v>
      </c>
      <c r="E35" s="139">
        <f>'[7]Nov 2022'!E35+'[7]Dec 2022'!D35</f>
        <v>378.05</v>
      </c>
      <c r="F35" s="139">
        <v>0</v>
      </c>
      <c r="G35" s="139">
        <f>'[7]Nov 2022'!G35+'[7]Dec 2022'!F35</f>
        <v>0</v>
      </c>
      <c r="H35" s="139">
        <f t="shared" si="0"/>
        <v>6587.6299999999974</v>
      </c>
      <c r="I35" s="139">
        <f>'[7]Nov 2022'!N35</f>
        <v>34.130000000000003</v>
      </c>
      <c r="J35" s="139">
        <v>0</v>
      </c>
      <c r="K35" s="139">
        <f>'[7]Nov 2022'!K35+'[7]Dec 2022'!J35</f>
        <v>27.21</v>
      </c>
      <c r="L35" s="139">
        <v>0</v>
      </c>
      <c r="M35" s="139">
        <f>'[7]Nov 2022'!M35+'[7]Dec 2022'!L35</f>
        <v>0</v>
      </c>
      <c r="N35" s="139">
        <f t="shared" si="1"/>
        <v>34.130000000000003</v>
      </c>
      <c r="O35" s="139">
        <f>'[7]Nov 2022'!T35</f>
        <v>90.800000000000011</v>
      </c>
      <c r="P35" s="139">
        <v>0</v>
      </c>
      <c r="Q35" s="139">
        <f>'[7]Nov 2022'!Q35+'[7]Dec 2022'!P35</f>
        <v>32.380000000000003</v>
      </c>
      <c r="R35" s="139">
        <v>0</v>
      </c>
      <c r="S35" s="139">
        <f>'[7]Nov 2022'!S35+'[7]Dec 2022'!R35</f>
        <v>0</v>
      </c>
      <c r="T35" s="139">
        <f t="shared" si="2"/>
        <v>90.800000000000011</v>
      </c>
      <c r="U35" s="139">
        <f t="shared" si="3"/>
        <v>6712.5599999999977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f>'[7]Nov 2022'!H36</f>
        <v>3588.19</v>
      </c>
      <c r="D36" s="139">
        <v>58.11</v>
      </c>
      <c r="E36" s="139">
        <f>'[7]Nov 2022'!E36+'[7]Dec 2022'!D36</f>
        <v>195.2</v>
      </c>
      <c r="F36" s="139">
        <v>0</v>
      </c>
      <c r="G36" s="139">
        <f>'[7]Nov 2022'!G36+'[7]Dec 2022'!F36</f>
        <v>0</v>
      </c>
      <c r="H36" s="139">
        <f t="shared" si="0"/>
        <v>3646.3</v>
      </c>
      <c r="I36" s="139">
        <f>'[7]Nov 2022'!N36</f>
        <v>30.250000000000039</v>
      </c>
      <c r="J36" s="139">
        <v>0</v>
      </c>
      <c r="K36" s="139">
        <f>'[7]Nov 2022'!K36+'[7]Dec 2022'!J36</f>
        <v>5.2</v>
      </c>
      <c r="L36" s="139">
        <v>0</v>
      </c>
      <c r="M36" s="139">
        <f>'[7]Nov 2022'!M36+'[7]Dec 2022'!L36</f>
        <v>4.63</v>
      </c>
      <c r="N36" s="139">
        <f t="shared" si="1"/>
        <v>30.250000000000039</v>
      </c>
      <c r="O36" s="139">
        <f>'[7]Nov 2022'!T36</f>
        <v>36.379999999999995</v>
      </c>
      <c r="P36" s="139">
        <v>0</v>
      </c>
      <c r="Q36" s="139">
        <f>'[7]Nov 2022'!Q36+'[7]Dec 2022'!P36</f>
        <v>19.29</v>
      </c>
      <c r="R36" s="139">
        <v>0</v>
      </c>
      <c r="S36" s="139">
        <f>'[7]Nov 2022'!S36+'[7]Dec 2022'!R36</f>
        <v>0</v>
      </c>
      <c r="T36" s="139">
        <f t="shared" si="2"/>
        <v>36.379999999999995</v>
      </c>
      <c r="U36" s="139">
        <f t="shared" si="3"/>
        <v>3712.9300000000003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f>'[7]Nov 2022'!H37</f>
        <v>5018.9199999999983</v>
      </c>
      <c r="D37" s="139">
        <f>9.72+46.02</f>
        <v>55.74</v>
      </c>
      <c r="E37" s="139">
        <f>'[7]Nov 2022'!E37+'[7]Dec 2022'!D37</f>
        <v>286.54000000000002</v>
      </c>
      <c r="F37" s="139">
        <v>0</v>
      </c>
      <c r="G37" s="139">
        <f>'[7]Nov 2022'!G37+'[7]Dec 2022'!F37</f>
        <v>0</v>
      </c>
      <c r="H37" s="139">
        <f t="shared" si="0"/>
        <v>5074.659999999998</v>
      </c>
      <c r="I37" s="139">
        <f>'[7]Nov 2022'!N37</f>
        <v>26.700000000000003</v>
      </c>
      <c r="J37" s="139">
        <v>0</v>
      </c>
      <c r="K37" s="139">
        <f>'[7]Nov 2022'!K37+'[7]Dec 2022'!J37</f>
        <v>14.27</v>
      </c>
      <c r="L37" s="139">
        <v>0</v>
      </c>
      <c r="M37" s="139">
        <f>'[7]Nov 2022'!M37+'[7]Dec 2022'!L37</f>
        <v>1.06</v>
      </c>
      <c r="N37" s="139">
        <f t="shared" si="1"/>
        <v>26.700000000000003</v>
      </c>
      <c r="O37" s="139">
        <f>'[7]Nov 2022'!T37</f>
        <v>3.0599999999999996</v>
      </c>
      <c r="P37" s="139">
        <v>0</v>
      </c>
      <c r="Q37" s="139">
        <f>'[7]Nov 2022'!Q37+'[7]Dec 2022'!P37</f>
        <v>0</v>
      </c>
      <c r="R37" s="139">
        <v>0</v>
      </c>
      <c r="S37" s="139">
        <f>'[7]Nov 2022'!S37+'[7]Dec 2022'!R37</f>
        <v>3.46</v>
      </c>
      <c r="T37" s="139">
        <f t="shared" si="2"/>
        <v>3.0599999999999996</v>
      </c>
      <c r="U37" s="139">
        <f t="shared" si="3"/>
        <v>5104.4199999999983</v>
      </c>
    </row>
    <row r="38" spans="1:21" s="111" customFormat="1" ht="38.25" customHeight="1" x14ac:dyDescent="0.4">
      <c r="A38" s="313" t="s">
        <v>107</v>
      </c>
      <c r="B38" s="313"/>
      <c r="C38" s="141">
        <f>SUM(C34:C37)</f>
        <v>19712.149999999994</v>
      </c>
      <c r="D38" s="141">
        <f t="shared" ref="D38:U38" si="11">SUM(D34:D37)</f>
        <v>166.06</v>
      </c>
      <c r="E38" s="141">
        <f t="shared" si="11"/>
        <v>1000.2</v>
      </c>
      <c r="F38" s="141">
        <f t="shared" si="11"/>
        <v>0</v>
      </c>
      <c r="G38" s="141">
        <f t="shared" si="11"/>
        <v>9.89</v>
      </c>
      <c r="H38" s="141">
        <f t="shared" si="11"/>
        <v>19878.209999999992</v>
      </c>
      <c r="I38" s="141">
        <f t="shared" si="11"/>
        <v>197.87</v>
      </c>
      <c r="J38" s="141">
        <f t="shared" si="11"/>
        <v>0.6</v>
      </c>
      <c r="K38" s="141">
        <f t="shared" si="11"/>
        <v>154.07</v>
      </c>
      <c r="L38" s="141">
        <f t="shared" si="11"/>
        <v>0</v>
      </c>
      <c r="M38" s="141">
        <f t="shared" si="11"/>
        <v>5.6899999999999995</v>
      </c>
      <c r="N38" s="141">
        <f t="shared" si="11"/>
        <v>198.47000000000003</v>
      </c>
      <c r="O38" s="141">
        <f t="shared" si="11"/>
        <v>202.94</v>
      </c>
      <c r="P38" s="141">
        <f t="shared" si="11"/>
        <v>0</v>
      </c>
      <c r="Q38" s="141">
        <f t="shared" si="11"/>
        <v>124.37</v>
      </c>
      <c r="R38" s="141">
        <f t="shared" si="11"/>
        <v>0</v>
      </c>
      <c r="S38" s="141">
        <f t="shared" si="11"/>
        <v>3.46</v>
      </c>
      <c r="T38" s="141">
        <f t="shared" si="11"/>
        <v>202.94</v>
      </c>
      <c r="U38" s="141">
        <f t="shared" si="11"/>
        <v>20279.619999999995</v>
      </c>
    </row>
    <row r="39" spans="1:21" s="145" customFormat="1" ht="38.25" customHeight="1" x14ac:dyDescent="0.4">
      <c r="A39" s="313" t="s">
        <v>108</v>
      </c>
      <c r="B39" s="313"/>
      <c r="C39" s="141">
        <f>C38+C33+C28</f>
        <v>42509.7958</v>
      </c>
      <c r="D39" s="141">
        <f t="shared" ref="D39:U39" si="12">D38+D33+D28</f>
        <v>232.65</v>
      </c>
      <c r="E39" s="141">
        <f t="shared" si="12"/>
        <v>1465.0080000000003</v>
      </c>
      <c r="F39" s="141">
        <f t="shared" si="12"/>
        <v>0</v>
      </c>
      <c r="G39" s="141">
        <f t="shared" si="12"/>
        <v>19.61</v>
      </c>
      <c r="H39" s="141">
        <f t="shared" si="12"/>
        <v>42742.445799999994</v>
      </c>
      <c r="I39" s="141">
        <f t="shared" si="12"/>
        <v>1407.1709999999998</v>
      </c>
      <c r="J39" s="141">
        <f t="shared" si="12"/>
        <v>27.48</v>
      </c>
      <c r="K39" s="141">
        <f t="shared" si="12"/>
        <v>308.36</v>
      </c>
      <c r="L39" s="141">
        <f t="shared" si="12"/>
        <v>0</v>
      </c>
      <c r="M39" s="141">
        <f t="shared" si="12"/>
        <v>5.6899999999999995</v>
      </c>
      <c r="N39" s="141">
        <f t="shared" si="12"/>
        <v>1434.6510000000001</v>
      </c>
      <c r="O39" s="141">
        <f t="shared" si="12"/>
        <v>392.81199999999995</v>
      </c>
      <c r="P39" s="141">
        <f t="shared" si="12"/>
        <v>0.15</v>
      </c>
      <c r="Q39" s="141">
        <f t="shared" si="12"/>
        <v>124.62</v>
      </c>
      <c r="R39" s="141">
        <f t="shared" si="12"/>
        <v>0</v>
      </c>
      <c r="S39" s="141">
        <f t="shared" si="12"/>
        <v>26.66</v>
      </c>
      <c r="T39" s="141">
        <f t="shared" si="12"/>
        <v>392.96199999999999</v>
      </c>
      <c r="U39" s="141">
        <f t="shared" si="12"/>
        <v>44570.058799999999</v>
      </c>
    </row>
    <row r="40" spans="1:21" ht="38.25" customHeight="1" x14ac:dyDescent="0.35">
      <c r="A40" s="171">
        <v>25</v>
      </c>
      <c r="B40" s="231" t="s">
        <v>109</v>
      </c>
      <c r="C40" s="139">
        <f>'[7]Nov 2022'!H40</f>
        <v>11765.473999999998</v>
      </c>
      <c r="D40" s="139">
        <v>22.26</v>
      </c>
      <c r="E40" s="139">
        <f>'[7]Nov 2022'!E40+'[7]Dec 2022'!D40</f>
        <v>397.29</v>
      </c>
      <c r="F40" s="139">
        <v>0</v>
      </c>
      <c r="G40" s="139">
        <f>'[7]Nov 2022'!G40+'[7]Dec 2022'!F40</f>
        <v>0</v>
      </c>
      <c r="H40" s="139">
        <f t="shared" si="0"/>
        <v>11787.733999999999</v>
      </c>
      <c r="I40" s="139">
        <f>'[7]Nov 2022'!N40</f>
        <v>198.73</v>
      </c>
      <c r="J40" s="139">
        <v>0</v>
      </c>
      <c r="K40" s="139">
        <f>'[7]Nov 2022'!K40+'[7]Dec 2022'!J40</f>
        <v>0</v>
      </c>
      <c r="L40" s="139">
        <v>0</v>
      </c>
      <c r="M40" s="139">
        <f>'[7]Nov 2022'!M40+'[7]Dec 2022'!L40</f>
        <v>0</v>
      </c>
      <c r="N40" s="139">
        <f t="shared" si="1"/>
        <v>198.73</v>
      </c>
      <c r="O40" s="139">
        <f>'[7]Nov 2022'!T40</f>
        <v>73.510000000000005</v>
      </c>
      <c r="P40" s="139">
        <v>11.14</v>
      </c>
      <c r="Q40" s="139">
        <f>'[7]Nov 2022'!Q40+'[7]Dec 2022'!P40</f>
        <v>84.65</v>
      </c>
      <c r="R40" s="139">
        <v>0</v>
      </c>
      <c r="S40" s="139">
        <f>'[7]Nov 2022'!S40+'[7]Dec 2022'!R40</f>
        <v>0</v>
      </c>
      <c r="T40" s="139">
        <f t="shared" si="2"/>
        <v>84.65</v>
      </c>
      <c r="U40" s="139">
        <f t="shared" si="3"/>
        <v>12071.113999999998</v>
      </c>
    </row>
    <row r="41" spans="1:21" ht="38.25" customHeight="1" x14ac:dyDescent="0.35">
      <c r="A41" s="171">
        <v>26</v>
      </c>
      <c r="B41" s="231" t="s">
        <v>110</v>
      </c>
      <c r="C41" s="139">
        <f>'[7]Nov 2022'!H41</f>
        <v>8206.1289999999935</v>
      </c>
      <c r="D41" s="139">
        <v>30.41</v>
      </c>
      <c r="E41" s="139">
        <f>'[7]Nov 2022'!E41+'[7]Dec 2022'!D41</f>
        <v>738.50200000000007</v>
      </c>
      <c r="F41" s="139">
        <v>0</v>
      </c>
      <c r="G41" s="139">
        <f>'[7]Nov 2022'!G41+'[7]Dec 2022'!F41</f>
        <v>0</v>
      </c>
      <c r="H41" s="139">
        <f t="shared" si="0"/>
        <v>8236.5389999999934</v>
      </c>
      <c r="I41" s="139">
        <f>'[7]Nov 2022'!N41</f>
        <v>8.67</v>
      </c>
      <c r="J41" s="139">
        <v>0</v>
      </c>
      <c r="K41" s="139">
        <f>'[7]Nov 2022'!K41+'[7]Dec 2022'!J41</f>
        <v>0</v>
      </c>
      <c r="L41" s="139">
        <v>0</v>
      </c>
      <c r="M41" s="139">
        <f>'[7]Nov 2022'!M41+'[7]Dec 2022'!L41</f>
        <v>0</v>
      </c>
      <c r="N41" s="139">
        <f t="shared" si="1"/>
        <v>8.67</v>
      </c>
      <c r="O41" s="139">
        <f>'[7]Nov 2022'!T41</f>
        <v>82.42</v>
      </c>
      <c r="P41" s="139">
        <f>19.62+11.23</f>
        <v>30.85</v>
      </c>
      <c r="Q41" s="139">
        <f>'[7]Nov 2022'!Q41+'[7]Dec 2022'!P41</f>
        <v>113.27000000000001</v>
      </c>
      <c r="R41" s="139">
        <v>0</v>
      </c>
      <c r="S41" s="139">
        <f>'[7]Nov 2022'!S41+'[7]Dec 2022'!R41</f>
        <v>0</v>
      </c>
      <c r="T41" s="139">
        <f t="shared" si="2"/>
        <v>113.27000000000001</v>
      </c>
      <c r="U41" s="139">
        <f t="shared" si="3"/>
        <v>8358.4789999999939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f>'[7]Nov 2022'!H42</f>
        <v>13877.848999999995</v>
      </c>
      <c r="D42" s="139">
        <v>9.5399999999999991</v>
      </c>
      <c r="E42" s="139">
        <f>'[7]Nov 2022'!E42+'[7]Dec 2022'!D42</f>
        <v>81.950000000000017</v>
      </c>
      <c r="F42" s="139">
        <v>0</v>
      </c>
      <c r="G42" s="139">
        <f>'[7]Nov 2022'!G42+'[7]Dec 2022'!F42</f>
        <v>0</v>
      </c>
      <c r="H42" s="139">
        <f t="shared" si="0"/>
        <v>13887.388999999996</v>
      </c>
      <c r="I42" s="139">
        <f>'[7]Nov 2022'!N42</f>
        <v>15.62</v>
      </c>
      <c r="J42" s="139">
        <v>0</v>
      </c>
      <c r="K42" s="139">
        <f>'[7]Nov 2022'!K42+'[7]Dec 2022'!J42</f>
        <v>0</v>
      </c>
      <c r="L42" s="139">
        <v>0</v>
      </c>
      <c r="M42" s="139">
        <f>'[7]Nov 2022'!M42+'[7]Dec 2022'!L42</f>
        <v>0</v>
      </c>
      <c r="N42" s="139">
        <f t="shared" si="1"/>
        <v>15.62</v>
      </c>
      <c r="O42" s="139">
        <f>'[7]Nov 2022'!T42</f>
        <v>122.77</v>
      </c>
      <c r="P42" s="139">
        <v>27.52</v>
      </c>
      <c r="Q42" s="139">
        <f>'[7]Nov 2022'!Q42+'[7]Dec 2022'!P42</f>
        <v>111.27</v>
      </c>
      <c r="R42" s="139">
        <v>0</v>
      </c>
      <c r="S42" s="139">
        <f>'[7]Nov 2022'!S42+'[7]Dec 2022'!R42</f>
        <v>0</v>
      </c>
      <c r="T42" s="139">
        <f t="shared" si="2"/>
        <v>150.29</v>
      </c>
      <c r="U42" s="139">
        <f t="shared" si="3"/>
        <v>14053.298999999997</v>
      </c>
    </row>
    <row r="43" spans="1:21" ht="38.25" customHeight="1" x14ac:dyDescent="0.35">
      <c r="A43" s="171">
        <v>28</v>
      </c>
      <c r="B43" s="231" t="s">
        <v>112</v>
      </c>
      <c r="C43" s="139">
        <f>'[7]Nov 2022'!H43</f>
        <v>4111.0000000000009</v>
      </c>
      <c r="D43" s="139">
        <v>5.62</v>
      </c>
      <c r="E43" s="139">
        <f>'[7]Nov 2022'!E43+'[7]Dec 2022'!D43</f>
        <v>149.14000000000001</v>
      </c>
      <c r="F43" s="139">
        <v>0</v>
      </c>
      <c r="G43" s="139">
        <f>'[7]Nov 2022'!G43+'[7]Dec 2022'!F43</f>
        <v>0</v>
      </c>
      <c r="H43" s="139">
        <f t="shared" si="0"/>
        <v>4116.6200000000008</v>
      </c>
      <c r="I43" s="139">
        <f>'[7]Nov 2022'!N43</f>
        <v>3.5</v>
      </c>
      <c r="J43" s="139">
        <v>0</v>
      </c>
      <c r="K43" s="139">
        <f>'[7]Nov 2022'!K43+'[7]Dec 2022'!J43</f>
        <v>0</v>
      </c>
      <c r="L43" s="139">
        <v>0</v>
      </c>
      <c r="M43" s="139">
        <f>'[7]Nov 2022'!M43+'[7]Dec 2022'!L43</f>
        <v>0</v>
      </c>
      <c r="N43" s="139">
        <f t="shared" si="1"/>
        <v>3.5</v>
      </c>
      <c r="O43" s="139">
        <f>'[7]Nov 2022'!T43</f>
        <v>29.8</v>
      </c>
      <c r="P43" s="139">
        <v>0</v>
      </c>
      <c r="Q43" s="139">
        <f>'[7]Nov 2022'!Q43+'[7]Dec 2022'!P43</f>
        <v>29.8</v>
      </c>
      <c r="R43" s="139">
        <v>0</v>
      </c>
      <c r="S43" s="139">
        <f>'[7]Nov 2022'!S43+'[7]Dec 2022'!R43</f>
        <v>0</v>
      </c>
      <c r="T43" s="139">
        <f t="shared" si="2"/>
        <v>29.8</v>
      </c>
      <c r="U43" s="139">
        <f t="shared" si="3"/>
        <v>4149.920000000001</v>
      </c>
    </row>
    <row r="44" spans="1:21" s="111" customFormat="1" ht="38.25" customHeight="1" x14ac:dyDescent="0.4">
      <c r="A44" s="313" t="s">
        <v>109</v>
      </c>
      <c r="B44" s="313"/>
      <c r="C44" s="141">
        <f>SUM(C40:C43)</f>
        <v>37960.45199999999</v>
      </c>
      <c r="D44" s="141">
        <f t="shared" ref="D44:U44" si="13">SUM(D40:D43)</f>
        <v>67.83</v>
      </c>
      <c r="E44" s="141">
        <f t="shared" si="13"/>
        <v>1366.8820000000003</v>
      </c>
      <c r="F44" s="141">
        <f t="shared" si="13"/>
        <v>0</v>
      </c>
      <c r="G44" s="141">
        <f t="shared" si="13"/>
        <v>0</v>
      </c>
      <c r="H44" s="141">
        <f t="shared" si="13"/>
        <v>38028.281999999992</v>
      </c>
      <c r="I44" s="141">
        <f t="shared" si="13"/>
        <v>226.51999999999998</v>
      </c>
      <c r="J44" s="141">
        <f t="shared" si="13"/>
        <v>0</v>
      </c>
      <c r="K44" s="141">
        <f t="shared" si="13"/>
        <v>0</v>
      </c>
      <c r="L44" s="141">
        <f t="shared" si="13"/>
        <v>0</v>
      </c>
      <c r="M44" s="141">
        <f t="shared" si="13"/>
        <v>0</v>
      </c>
      <c r="N44" s="141">
        <f t="shared" si="13"/>
        <v>226.51999999999998</v>
      </c>
      <c r="O44" s="141">
        <f t="shared" si="13"/>
        <v>308.5</v>
      </c>
      <c r="P44" s="141">
        <f t="shared" si="13"/>
        <v>69.510000000000005</v>
      </c>
      <c r="Q44" s="141">
        <f t="shared" si="13"/>
        <v>338.99</v>
      </c>
      <c r="R44" s="141">
        <f t="shared" si="13"/>
        <v>0</v>
      </c>
      <c r="S44" s="141">
        <f t="shared" si="13"/>
        <v>0</v>
      </c>
      <c r="T44" s="141">
        <f t="shared" si="13"/>
        <v>378.01000000000005</v>
      </c>
      <c r="U44" s="141">
        <f t="shared" si="13"/>
        <v>38632.811999999991</v>
      </c>
    </row>
    <row r="45" spans="1:21" ht="38.25" customHeight="1" x14ac:dyDescent="0.35">
      <c r="A45" s="171">
        <v>29</v>
      </c>
      <c r="B45" s="231" t="s">
        <v>113</v>
      </c>
      <c r="C45" s="139">
        <f>'[7]Nov 2022'!H45</f>
        <v>8183.2421000000004</v>
      </c>
      <c r="D45" s="139">
        <v>85.3</v>
      </c>
      <c r="E45" s="139">
        <f>'[7]Nov 2022'!E45+'[7]Dec 2022'!D45</f>
        <v>216.56</v>
      </c>
      <c r="F45" s="139">
        <v>0</v>
      </c>
      <c r="G45" s="139">
        <f>'[7]Nov 2022'!G45+'[7]Dec 2022'!F45</f>
        <v>0</v>
      </c>
      <c r="H45" s="139">
        <f t="shared" si="0"/>
        <v>8268.5421000000006</v>
      </c>
      <c r="I45" s="139">
        <f>'[7]Nov 2022'!N45</f>
        <v>260.32</v>
      </c>
      <c r="J45" s="139">
        <v>0.59</v>
      </c>
      <c r="K45" s="139">
        <f>'[7]Nov 2022'!K45+'[7]Dec 2022'!J45</f>
        <v>218.98999999999998</v>
      </c>
      <c r="L45" s="139">
        <v>0</v>
      </c>
      <c r="M45" s="139">
        <f>'[7]Nov 2022'!M45+'[7]Dec 2022'!L45</f>
        <v>0</v>
      </c>
      <c r="N45" s="139">
        <f t="shared" si="1"/>
        <v>260.90999999999997</v>
      </c>
      <c r="O45" s="139">
        <f>'[7]Nov 2022'!T45</f>
        <v>84.22</v>
      </c>
      <c r="P45" s="139">
        <v>0.05</v>
      </c>
      <c r="Q45" s="139">
        <f>'[7]Nov 2022'!Q45+'[7]Dec 2022'!P45</f>
        <v>69.52</v>
      </c>
      <c r="R45" s="139">
        <v>0</v>
      </c>
      <c r="S45" s="139">
        <f>'[7]Nov 2022'!S45+'[7]Dec 2022'!R45</f>
        <v>0</v>
      </c>
      <c r="T45" s="139">
        <f t="shared" si="2"/>
        <v>84.27</v>
      </c>
      <c r="U45" s="139">
        <f t="shared" si="3"/>
        <v>8613.7221000000009</v>
      </c>
    </row>
    <row r="46" spans="1:21" ht="38.25" customHeight="1" x14ac:dyDescent="0.35">
      <c r="A46" s="171">
        <v>30</v>
      </c>
      <c r="B46" s="231" t="s">
        <v>114</v>
      </c>
      <c r="C46" s="139">
        <f>'[7]Nov 2022'!H46</f>
        <v>7791.2850000000026</v>
      </c>
      <c r="D46" s="139">
        <v>33.479999999999997</v>
      </c>
      <c r="E46" s="139">
        <f>'[7]Nov 2022'!E46+'[7]Dec 2022'!D46</f>
        <v>86.27</v>
      </c>
      <c r="F46" s="139">
        <v>0</v>
      </c>
      <c r="G46" s="139">
        <f>'[7]Nov 2022'!G46+'[7]Dec 2022'!F46</f>
        <v>0</v>
      </c>
      <c r="H46" s="139">
        <f t="shared" si="0"/>
        <v>7824.7650000000021</v>
      </c>
      <c r="I46" s="139">
        <f>'[7]Nov 2022'!N46</f>
        <v>0</v>
      </c>
      <c r="J46" s="139">
        <v>0</v>
      </c>
      <c r="K46" s="139">
        <f>'[7]Nov 2022'!K46+'[7]Dec 2022'!J46</f>
        <v>0</v>
      </c>
      <c r="L46" s="139">
        <v>0</v>
      </c>
      <c r="M46" s="139">
        <f>'[7]Nov 2022'!M46+'[7]Dec 2022'!L46</f>
        <v>0</v>
      </c>
      <c r="N46" s="139">
        <f t="shared" si="1"/>
        <v>0</v>
      </c>
      <c r="O46" s="139">
        <f>'[7]Nov 2022'!T46</f>
        <v>47.03</v>
      </c>
      <c r="P46" s="139">
        <v>0</v>
      </c>
      <c r="Q46" s="139">
        <f>'[7]Nov 2022'!Q46+'[7]Dec 2022'!P46</f>
        <v>47.03</v>
      </c>
      <c r="R46" s="139">
        <v>0</v>
      </c>
      <c r="S46" s="139">
        <f>'[7]Nov 2022'!S46+'[7]Dec 2022'!R46</f>
        <v>0</v>
      </c>
      <c r="T46" s="139">
        <f t="shared" si="2"/>
        <v>47.03</v>
      </c>
      <c r="U46" s="139">
        <f t="shared" si="3"/>
        <v>7871.7950000000019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f>'[7]Nov 2022'!H47</f>
        <v>8935.1099999999988</v>
      </c>
      <c r="D47" s="139">
        <v>4.46</v>
      </c>
      <c r="E47" s="139">
        <f>'[7]Nov 2022'!E47+'[7]Dec 2022'!D47</f>
        <v>154.93000000000004</v>
      </c>
      <c r="F47" s="139">
        <v>0</v>
      </c>
      <c r="G47" s="139">
        <f>'[7]Nov 2022'!G47+'[7]Dec 2022'!F47</f>
        <v>0</v>
      </c>
      <c r="H47" s="139">
        <f t="shared" si="0"/>
        <v>8939.5699999999979</v>
      </c>
      <c r="I47" s="139">
        <f>'[7]Nov 2022'!N47</f>
        <v>3.13</v>
      </c>
      <c r="J47" s="139">
        <v>0</v>
      </c>
      <c r="K47" s="139">
        <f>'[7]Nov 2022'!K47+'[7]Dec 2022'!J47</f>
        <v>0</v>
      </c>
      <c r="L47" s="139">
        <v>0</v>
      </c>
      <c r="M47" s="139">
        <f>'[7]Nov 2022'!M47+'[7]Dec 2022'!L47</f>
        <v>0</v>
      </c>
      <c r="N47" s="139">
        <f t="shared" si="1"/>
        <v>3.13</v>
      </c>
      <c r="O47" s="139">
        <f>'[7]Nov 2022'!T47</f>
        <v>118.94999999999999</v>
      </c>
      <c r="P47" s="139">
        <v>0</v>
      </c>
      <c r="Q47" s="139">
        <f>'[7]Nov 2022'!Q47+'[7]Dec 2022'!P47</f>
        <v>118.91999999999999</v>
      </c>
      <c r="R47" s="139">
        <v>0</v>
      </c>
      <c r="S47" s="139">
        <f>'[7]Nov 2022'!S47+'[7]Dec 2022'!R47</f>
        <v>0</v>
      </c>
      <c r="T47" s="139">
        <f t="shared" si="2"/>
        <v>118.94999999999999</v>
      </c>
      <c r="U47" s="139">
        <f t="shared" si="3"/>
        <v>9061.6499999999978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f>'[7]Nov 2022'!H48</f>
        <v>8586.6989999999987</v>
      </c>
      <c r="D48" s="139">
        <v>2.66</v>
      </c>
      <c r="E48" s="139">
        <f>'[7]Nov 2022'!E48+'[7]Dec 2022'!D48</f>
        <v>392.57</v>
      </c>
      <c r="F48" s="139">
        <v>0</v>
      </c>
      <c r="G48" s="139">
        <f>'[7]Nov 2022'!G48+'[7]Dec 2022'!F48</f>
        <v>0</v>
      </c>
      <c r="H48" s="139">
        <f t="shared" si="0"/>
        <v>8589.3589999999986</v>
      </c>
      <c r="I48" s="139">
        <f>'[7]Nov 2022'!N48</f>
        <v>5.0249999999999995</v>
      </c>
      <c r="J48" s="139">
        <v>0</v>
      </c>
      <c r="K48" s="139">
        <f>'[7]Nov 2022'!K48+'[7]Dec 2022'!J48</f>
        <v>0</v>
      </c>
      <c r="L48" s="139">
        <v>0</v>
      </c>
      <c r="M48" s="139">
        <f>'[7]Nov 2022'!M48+'[7]Dec 2022'!L48</f>
        <v>0</v>
      </c>
      <c r="N48" s="139">
        <f t="shared" si="1"/>
        <v>5.0249999999999995</v>
      </c>
      <c r="O48" s="139">
        <f>'[7]Nov 2022'!T48</f>
        <v>4.21</v>
      </c>
      <c r="P48" s="139">
        <v>0</v>
      </c>
      <c r="Q48" s="139">
        <f>'[7]Nov 2022'!Q48+'[7]Dec 2022'!P48</f>
        <v>4.21</v>
      </c>
      <c r="R48" s="139">
        <v>0</v>
      </c>
      <c r="S48" s="139">
        <f>'[7]Nov 2022'!S48+'[7]Dec 2022'!R48</f>
        <v>0</v>
      </c>
      <c r="T48" s="139">
        <f t="shared" si="2"/>
        <v>4.21</v>
      </c>
      <c r="U48" s="139">
        <f t="shared" si="3"/>
        <v>8598.5939999999973</v>
      </c>
    </row>
    <row r="49" spans="1:21" s="111" customFormat="1" ht="38.25" customHeight="1" x14ac:dyDescent="0.4">
      <c r="A49" s="313" t="s">
        <v>117</v>
      </c>
      <c r="B49" s="313"/>
      <c r="C49" s="141">
        <f>SUM(C45:C48)</f>
        <v>33496.3361</v>
      </c>
      <c r="D49" s="141">
        <f t="shared" ref="D49:U49" si="14">SUM(D45:D48)</f>
        <v>125.89999999999999</v>
      </c>
      <c r="E49" s="141">
        <f t="shared" si="14"/>
        <v>850.32999999999993</v>
      </c>
      <c r="F49" s="141">
        <f t="shared" si="14"/>
        <v>0</v>
      </c>
      <c r="G49" s="141">
        <f t="shared" si="14"/>
        <v>0</v>
      </c>
      <c r="H49" s="141">
        <f t="shared" si="14"/>
        <v>33622.236099999995</v>
      </c>
      <c r="I49" s="141">
        <f t="shared" si="14"/>
        <v>268.47499999999997</v>
      </c>
      <c r="J49" s="141">
        <f t="shared" si="14"/>
        <v>0.59</v>
      </c>
      <c r="K49" s="141">
        <f t="shared" si="14"/>
        <v>218.98999999999998</v>
      </c>
      <c r="L49" s="141">
        <f t="shared" si="14"/>
        <v>0</v>
      </c>
      <c r="M49" s="141">
        <f t="shared" si="14"/>
        <v>0</v>
      </c>
      <c r="N49" s="141">
        <f t="shared" si="14"/>
        <v>269.06499999999994</v>
      </c>
      <c r="O49" s="141">
        <f t="shared" si="14"/>
        <v>254.41</v>
      </c>
      <c r="P49" s="141">
        <f t="shared" si="14"/>
        <v>0.05</v>
      </c>
      <c r="Q49" s="141">
        <f t="shared" si="14"/>
        <v>239.67999999999998</v>
      </c>
      <c r="R49" s="141">
        <f t="shared" si="14"/>
        <v>0</v>
      </c>
      <c r="S49" s="141">
        <f t="shared" si="14"/>
        <v>0</v>
      </c>
      <c r="T49" s="141">
        <f t="shared" si="14"/>
        <v>254.46</v>
      </c>
      <c r="U49" s="141">
        <f t="shared" si="14"/>
        <v>34145.761100000003</v>
      </c>
    </row>
    <row r="50" spans="1:21" s="145" customFormat="1" ht="38.25" customHeight="1" x14ac:dyDescent="0.4">
      <c r="A50" s="313" t="s">
        <v>118</v>
      </c>
      <c r="B50" s="313"/>
      <c r="C50" s="141">
        <f>C49+C44</f>
        <v>71456.788099999991</v>
      </c>
      <c r="D50" s="141">
        <f t="shared" ref="D50:U50" si="15">D49+D44</f>
        <v>193.73</v>
      </c>
      <c r="E50" s="141">
        <f t="shared" si="15"/>
        <v>2217.2120000000004</v>
      </c>
      <c r="F50" s="141">
        <f t="shared" si="15"/>
        <v>0</v>
      </c>
      <c r="G50" s="141">
        <f t="shared" si="15"/>
        <v>0</v>
      </c>
      <c r="H50" s="141">
        <f t="shared" si="15"/>
        <v>71650.518099999987</v>
      </c>
      <c r="I50" s="141">
        <f t="shared" si="15"/>
        <v>494.99499999999995</v>
      </c>
      <c r="J50" s="141">
        <f t="shared" si="15"/>
        <v>0.59</v>
      </c>
      <c r="K50" s="141">
        <f t="shared" si="15"/>
        <v>218.98999999999998</v>
      </c>
      <c r="L50" s="141">
        <f t="shared" si="15"/>
        <v>0</v>
      </c>
      <c r="M50" s="141">
        <f t="shared" si="15"/>
        <v>0</v>
      </c>
      <c r="N50" s="141">
        <f t="shared" si="15"/>
        <v>495.58499999999992</v>
      </c>
      <c r="O50" s="141">
        <f t="shared" si="15"/>
        <v>562.91</v>
      </c>
      <c r="P50" s="141">
        <f t="shared" si="15"/>
        <v>69.56</v>
      </c>
      <c r="Q50" s="141">
        <f t="shared" si="15"/>
        <v>578.66999999999996</v>
      </c>
      <c r="R50" s="141">
        <f t="shared" si="15"/>
        <v>0</v>
      </c>
      <c r="S50" s="141">
        <f t="shared" si="15"/>
        <v>0</v>
      </c>
      <c r="T50" s="141">
        <f t="shared" si="15"/>
        <v>632.47</v>
      </c>
      <c r="U50" s="141">
        <f t="shared" si="15"/>
        <v>72778.573099999994</v>
      </c>
    </row>
    <row r="51" spans="1:21" s="146" customFormat="1" ht="38.25" customHeight="1" x14ac:dyDescent="0.4">
      <c r="A51" s="313" t="s">
        <v>119</v>
      </c>
      <c r="B51" s="313"/>
      <c r="C51" s="141">
        <f>C50+C39+C25</f>
        <v>118132.4099</v>
      </c>
      <c r="D51" s="141">
        <f t="shared" ref="D51:U51" si="16">D50+D39+D25</f>
        <v>426.99</v>
      </c>
      <c r="E51" s="141">
        <f t="shared" si="16"/>
        <v>3694.4400000000005</v>
      </c>
      <c r="F51" s="141">
        <f t="shared" si="16"/>
        <v>11.23</v>
      </c>
      <c r="G51" s="141">
        <f t="shared" si="16"/>
        <v>563.98</v>
      </c>
      <c r="H51" s="141">
        <f t="shared" si="16"/>
        <v>118548.16989999998</v>
      </c>
      <c r="I51" s="141">
        <f t="shared" si="16"/>
        <v>10372.378000000001</v>
      </c>
      <c r="J51" s="141">
        <f t="shared" si="16"/>
        <v>74.849999999999994</v>
      </c>
      <c r="K51" s="141">
        <f t="shared" si="16"/>
        <v>1861.2939999999999</v>
      </c>
      <c r="L51" s="141">
        <f t="shared" si="16"/>
        <v>0</v>
      </c>
      <c r="M51" s="141">
        <f t="shared" si="16"/>
        <v>7.85</v>
      </c>
      <c r="N51" s="141">
        <f t="shared" si="16"/>
        <v>10447.227999999999</v>
      </c>
      <c r="O51" s="141">
        <f t="shared" si="16"/>
        <v>1527.27</v>
      </c>
      <c r="P51" s="141">
        <f t="shared" si="16"/>
        <v>69.710000000000008</v>
      </c>
      <c r="Q51" s="141">
        <f t="shared" si="16"/>
        <v>705.65</v>
      </c>
      <c r="R51" s="141">
        <f t="shared" si="16"/>
        <v>2.42</v>
      </c>
      <c r="S51" s="141">
        <f t="shared" si="16"/>
        <v>52.57</v>
      </c>
      <c r="T51" s="141">
        <f t="shared" si="16"/>
        <v>1594.56</v>
      </c>
      <c r="U51" s="141">
        <f t="shared" si="16"/>
        <v>130589.95789999999</v>
      </c>
    </row>
    <row r="52" spans="1:21" s="115" customFormat="1" ht="24.75" hidden="1" customHeight="1" x14ac:dyDescent="0.4">
      <c r="B52" s="257"/>
      <c r="C52" s="278" t="s">
        <v>54</v>
      </c>
      <c r="D52" s="278"/>
      <c r="E52" s="278"/>
      <c r="F52" s="278"/>
      <c r="G52" s="278"/>
      <c r="H52" s="118"/>
      <c r="I52" s="257"/>
      <c r="J52" s="257">
        <f>D51+J51+P51-F51-L51-R51</f>
        <v>557.90000000000009</v>
      </c>
      <c r="K52" s="257"/>
      <c r="L52" s="257"/>
      <c r="M52" s="257"/>
      <c r="N52" s="257"/>
      <c r="R52" s="257"/>
      <c r="U52" s="257"/>
    </row>
    <row r="53" spans="1:21" s="115" customFormat="1" ht="30" hidden="1" customHeight="1" x14ac:dyDescent="0.35">
      <c r="B53" s="257"/>
      <c r="C53" s="278" t="s">
        <v>55</v>
      </c>
      <c r="D53" s="278"/>
      <c r="E53" s="278"/>
      <c r="F53" s="278"/>
      <c r="G53" s="278"/>
      <c r="H53" s="119"/>
      <c r="I53" s="257"/>
      <c r="J53" s="257">
        <f>E51+K51+Q51-G51-M51-S51</f>
        <v>5636.9840000000004</v>
      </c>
      <c r="K53" s="257"/>
      <c r="L53" s="257"/>
      <c r="M53" s="257"/>
      <c r="N53" s="257"/>
      <c r="R53" s="257"/>
      <c r="T53" s="257"/>
    </row>
    <row r="54" spans="1:21" ht="33" hidden="1" customHeight="1" x14ac:dyDescent="0.5">
      <c r="C54" s="278" t="s">
        <v>56</v>
      </c>
      <c r="D54" s="278"/>
      <c r="E54" s="278"/>
      <c r="F54" s="278"/>
      <c r="G54" s="278"/>
      <c r="H54" s="119"/>
      <c r="I54" s="121"/>
      <c r="J54" s="257">
        <f>H51+N51+T51</f>
        <v>130589.95789999998</v>
      </c>
      <c r="K54" s="119"/>
      <c r="L54" s="119"/>
      <c r="M54" s="142" t="e">
        <f>#REF!+'dec-2021'!J54</f>
        <v>#REF!</v>
      </c>
      <c r="N54" s="119"/>
      <c r="P54" s="115"/>
      <c r="Q54" s="122"/>
      <c r="U54" s="122"/>
    </row>
    <row r="55" spans="1:21" ht="33" hidden="1" customHeight="1" x14ac:dyDescent="0.5">
      <c r="C55" s="120"/>
      <c r="D55" s="257"/>
      <c r="E55" s="257"/>
      <c r="F55" s="257"/>
      <c r="G55" s="257"/>
      <c r="H55" s="119"/>
      <c r="I55" s="121"/>
      <c r="J55" s="257"/>
      <c r="K55" s="119"/>
      <c r="L55" s="119"/>
      <c r="M55" s="143"/>
      <c r="N55" s="119"/>
      <c r="P55" s="115"/>
      <c r="Q55" s="122"/>
      <c r="U55" s="122"/>
    </row>
    <row r="56" spans="1:21" ht="33" hidden="1" customHeight="1" x14ac:dyDescent="0.5">
      <c r="C56" s="120"/>
      <c r="D56" s="257"/>
      <c r="E56" s="257"/>
      <c r="F56" s="257"/>
      <c r="G56" s="257"/>
      <c r="H56" s="119"/>
      <c r="I56" s="121"/>
      <c r="J56" s="257"/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s="152" customFormat="1" ht="37.5" hidden="1" customHeight="1" x14ac:dyDescent="0.45">
      <c r="B57" s="287" t="s">
        <v>57</v>
      </c>
      <c r="C57" s="287"/>
      <c r="D57" s="287"/>
      <c r="E57" s="287"/>
      <c r="F57" s="287"/>
      <c r="G57" s="153"/>
      <c r="H57" s="154"/>
      <c r="I57" s="155"/>
      <c r="J57" s="288"/>
      <c r="K57" s="286"/>
      <c r="L57" s="286"/>
      <c r="M57" s="169" t="e">
        <f>#REF!+'dec-2021'!J54</f>
        <v>#REF!</v>
      </c>
      <c r="N57" s="154"/>
      <c r="O57" s="154"/>
      <c r="P57" s="260"/>
      <c r="Q57" s="287" t="s">
        <v>58</v>
      </c>
      <c r="R57" s="287"/>
      <c r="S57" s="287"/>
      <c r="T57" s="287"/>
      <c r="U57" s="287"/>
    </row>
    <row r="58" spans="1:21" s="152" customFormat="1" ht="37.5" hidden="1" customHeight="1" x14ac:dyDescent="0.45">
      <c r="B58" s="287" t="s">
        <v>59</v>
      </c>
      <c r="C58" s="287"/>
      <c r="D58" s="287"/>
      <c r="E58" s="287"/>
      <c r="F58" s="287"/>
      <c r="G58" s="154"/>
      <c r="H58" s="153"/>
      <c r="I58" s="156"/>
      <c r="J58" s="157"/>
      <c r="K58" s="259"/>
      <c r="L58" s="157"/>
      <c r="M58" s="154"/>
      <c r="N58" s="153"/>
      <c r="O58" s="154"/>
      <c r="P58" s="260"/>
      <c r="Q58" s="287" t="s">
        <v>59</v>
      </c>
      <c r="R58" s="287"/>
      <c r="S58" s="287"/>
      <c r="T58" s="287"/>
      <c r="U58" s="287"/>
    </row>
    <row r="59" spans="1:21" s="152" customFormat="1" ht="37.5" hidden="1" customHeight="1" x14ac:dyDescent="0.45">
      <c r="I59" s="158"/>
      <c r="J59" s="286" t="s">
        <v>61</v>
      </c>
      <c r="K59" s="286"/>
      <c r="L59" s="286"/>
      <c r="M59" s="159" t="e">
        <f>#REF!+'dec-2021'!J54</f>
        <v>#REF!</v>
      </c>
      <c r="P59" s="160"/>
      <c r="Q59" s="160"/>
      <c r="R59" s="160"/>
      <c r="S59" s="161"/>
      <c r="T59" s="160"/>
      <c r="U59" s="160"/>
    </row>
    <row r="60" spans="1:21" s="152" customFormat="1" ht="37.5" hidden="1" customHeight="1" x14ac:dyDescent="0.45">
      <c r="G60" s="162"/>
      <c r="H60" s="159" t="e">
        <f>#REF!+'dec-2021'!J54</f>
        <v>#REF!</v>
      </c>
      <c r="I60" s="158"/>
      <c r="J60" s="286" t="s">
        <v>62</v>
      </c>
      <c r="K60" s="286"/>
      <c r="L60" s="286"/>
      <c r="M60" s="159" t="e">
        <f>#REF!+'dec-2021'!J54</f>
        <v>#REF!</v>
      </c>
      <c r="P60" s="160"/>
      <c r="Q60" s="160"/>
      <c r="R60" s="160"/>
      <c r="S60" s="161"/>
      <c r="T60" s="160"/>
      <c r="U60" s="160"/>
    </row>
    <row r="61" spans="1:21" hidden="1" x14ac:dyDescent="0.35"/>
    <row r="62" spans="1:21" hidden="1" x14ac:dyDescent="0.35">
      <c r="H62" s="130"/>
      <c r="I62" s="131"/>
      <c r="J62" s="130"/>
    </row>
    <row r="63" spans="1:21" hidden="1" x14ac:dyDescent="0.35">
      <c r="H63" s="130"/>
      <c r="I63" s="131"/>
      <c r="J63" s="130"/>
    </row>
    <row r="64" spans="1:21" ht="18" customHeight="1" x14ac:dyDescent="0.35">
      <c r="H64" s="130"/>
      <c r="I64" s="131"/>
      <c r="J64" s="130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8:F58"/>
    <mergeCell ref="Q58:U58"/>
    <mergeCell ref="Q57:U57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59:L59"/>
    <mergeCell ref="J60:L60"/>
    <mergeCell ref="C52:G52"/>
    <mergeCell ref="C53:G53"/>
    <mergeCell ref="C54:G54"/>
    <mergeCell ref="B57:F57"/>
    <mergeCell ref="J57:L57"/>
  </mergeCells>
  <pageMargins left="0.7" right="0.7" top="0.75" bottom="0.75" header="0.3" footer="0.3"/>
  <pageSetup paperSize="9" scale="15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view="pageBreakPreview" topLeftCell="E37" zoomScale="40" zoomScaleNormal="55" zoomScaleSheetLayoutView="40" workbookViewId="0">
      <selection activeCell="M70" sqref="M70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3" width="25.42578125" style="107" customWidth="1"/>
    <col min="14" max="14" width="28.7109375" style="107" customWidth="1"/>
    <col min="15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156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53" t="s">
        <v>122</v>
      </c>
      <c r="B4" s="355" t="s">
        <v>121</v>
      </c>
      <c r="C4" s="358" t="s">
        <v>131</v>
      </c>
      <c r="D4" s="359"/>
      <c r="E4" s="359"/>
      <c r="F4" s="359"/>
      <c r="G4" s="359"/>
      <c r="H4" s="359"/>
      <c r="I4" s="358" t="s">
        <v>146</v>
      </c>
      <c r="J4" s="359"/>
      <c r="K4" s="359"/>
      <c r="L4" s="359"/>
      <c r="M4" s="359"/>
      <c r="N4" s="359"/>
      <c r="O4" s="358" t="s">
        <v>147</v>
      </c>
      <c r="P4" s="359"/>
      <c r="Q4" s="359"/>
      <c r="R4" s="359"/>
      <c r="S4" s="359"/>
      <c r="T4" s="359"/>
      <c r="U4" s="261"/>
    </row>
    <row r="5" spans="1:21" s="108" customFormat="1" ht="54.75" customHeight="1" x14ac:dyDescent="0.25">
      <c r="A5" s="354"/>
      <c r="B5" s="356"/>
      <c r="C5" s="349" t="s">
        <v>6</v>
      </c>
      <c r="D5" s="351" t="s">
        <v>127</v>
      </c>
      <c r="E5" s="352"/>
      <c r="F5" s="351" t="s">
        <v>126</v>
      </c>
      <c r="G5" s="352"/>
      <c r="H5" s="349" t="s">
        <v>9</v>
      </c>
      <c r="I5" s="349" t="s">
        <v>6</v>
      </c>
      <c r="J5" s="351" t="s">
        <v>127</v>
      </c>
      <c r="K5" s="352"/>
      <c r="L5" s="351" t="s">
        <v>126</v>
      </c>
      <c r="M5" s="352"/>
      <c r="N5" s="349" t="s">
        <v>9</v>
      </c>
      <c r="O5" s="349" t="s">
        <v>6</v>
      </c>
      <c r="P5" s="351" t="s">
        <v>127</v>
      </c>
      <c r="Q5" s="352"/>
      <c r="R5" s="351" t="s">
        <v>126</v>
      </c>
      <c r="S5" s="352"/>
      <c r="T5" s="349" t="s">
        <v>9</v>
      </c>
      <c r="U5" s="355" t="s">
        <v>128</v>
      </c>
    </row>
    <row r="6" spans="1:21" s="108" customFormat="1" ht="38.25" customHeight="1" x14ac:dyDescent="0.25">
      <c r="A6" s="354"/>
      <c r="B6" s="357"/>
      <c r="C6" s="350"/>
      <c r="D6" s="231" t="s">
        <v>124</v>
      </c>
      <c r="E6" s="231" t="s">
        <v>125</v>
      </c>
      <c r="F6" s="231" t="s">
        <v>124</v>
      </c>
      <c r="G6" s="231" t="s">
        <v>125</v>
      </c>
      <c r="H6" s="350"/>
      <c r="I6" s="350"/>
      <c r="J6" s="231" t="s">
        <v>124</v>
      </c>
      <c r="K6" s="231" t="s">
        <v>125</v>
      </c>
      <c r="L6" s="231" t="s">
        <v>124</v>
      </c>
      <c r="M6" s="231" t="s">
        <v>125</v>
      </c>
      <c r="N6" s="350"/>
      <c r="O6" s="350"/>
      <c r="P6" s="231" t="s">
        <v>124</v>
      </c>
      <c r="Q6" s="231" t="s">
        <v>125</v>
      </c>
      <c r="R6" s="231" t="s">
        <v>124</v>
      </c>
      <c r="S6" s="231" t="s">
        <v>125</v>
      </c>
      <c r="T6" s="350"/>
      <c r="U6" s="357"/>
    </row>
    <row r="7" spans="1:21" ht="38.25" customHeight="1" x14ac:dyDescent="0.35">
      <c r="A7" s="230">
        <v>1</v>
      </c>
      <c r="B7" s="231" t="s">
        <v>78</v>
      </c>
      <c r="C7" s="139">
        <f>'[8]Dec 2022'!H7</f>
        <v>7.179999999999982</v>
      </c>
      <c r="D7" s="139">
        <v>0</v>
      </c>
      <c r="E7" s="139">
        <f>'[8]Dec 2022'!E7+'[8]Jan 2023'!D7</f>
        <v>0</v>
      </c>
      <c r="F7" s="139">
        <v>0</v>
      </c>
      <c r="G7" s="139">
        <f>'[8]Dec 2022'!G7+'[8]Jan 2023'!F7</f>
        <v>82.86</v>
      </c>
      <c r="H7" s="139">
        <f>C7+D7-F7</f>
        <v>7.179999999999982</v>
      </c>
      <c r="I7" s="139">
        <f>'[8]Dec 2022'!N7</f>
        <v>690.12599999999975</v>
      </c>
      <c r="J7" s="139">
        <v>6.77</v>
      </c>
      <c r="K7" s="139">
        <f>'[8]Dec 2022'!K7+'[8]Jan 2023'!J7</f>
        <v>112.67899999999999</v>
      </c>
      <c r="L7" s="139">
        <v>0</v>
      </c>
      <c r="M7" s="139">
        <f>'[8]Dec 2022'!M7+'[8]Jan 2023'!L7</f>
        <v>0</v>
      </c>
      <c r="N7" s="139">
        <f>I7+J7-L7</f>
        <v>696.89599999999973</v>
      </c>
      <c r="O7" s="139">
        <f>'[8]Dec 2022'!T7</f>
        <v>8.436000000000007</v>
      </c>
      <c r="P7" s="139">
        <v>0</v>
      </c>
      <c r="Q7" s="139">
        <f>'[8]Dec 2022'!Q7+'[8]Jan 2023'!P7</f>
        <v>0</v>
      </c>
      <c r="R7" s="139">
        <v>0</v>
      </c>
      <c r="S7" s="139">
        <f>'[8]Dec 2022'!S7+'[8]Jan 2023'!R7</f>
        <v>1.01</v>
      </c>
      <c r="T7" s="139">
        <f>O7+P7-R7</f>
        <v>8.436000000000007</v>
      </c>
      <c r="U7" s="139">
        <f>H7+N7+T7</f>
        <v>712.51199999999972</v>
      </c>
    </row>
    <row r="8" spans="1:21" ht="38.25" customHeight="1" x14ac:dyDescent="0.35">
      <c r="A8" s="230">
        <v>2</v>
      </c>
      <c r="B8" s="231" t="s">
        <v>79</v>
      </c>
      <c r="C8" s="139">
        <f>'[8]Dec 2022'!H8</f>
        <v>265.39</v>
      </c>
      <c r="D8" s="139">
        <v>0.03</v>
      </c>
      <c r="E8" s="139">
        <f>'[8]Dec 2022'!E8+'[8]Jan 2023'!D8</f>
        <v>0.03</v>
      </c>
      <c r="F8" s="139">
        <v>0</v>
      </c>
      <c r="G8" s="139">
        <f>'[8]Dec 2022'!G8+'[8]Jan 2023'!F8</f>
        <v>0</v>
      </c>
      <c r="H8" s="139">
        <f t="shared" ref="H8:H48" si="0">C8+D8-F8</f>
        <v>265.41999999999996</v>
      </c>
      <c r="I8" s="139">
        <f>'[8]Dec 2022'!N8</f>
        <v>376.17000000000007</v>
      </c>
      <c r="J8" s="139">
        <v>10.135999999999999</v>
      </c>
      <c r="K8" s="139">
        <f>'[8]Dec 2022'!K8+'[8]Jan 2023'!J8</f>
        <v>74.325999999999993</v>
      </c>
      <c r="L8" s="139">
        <v>0</v>
      </c>
      <c r="M8" s="139">
        <f>'[8]Dec 2022'!M8+'[8]Jan 2023'!L8</f>
        <v>0</v>
      </c>
      <c r="N8" s="139">
        <f t="shared" ref="N8:N48" si="1">I8+J8-L8</f>
        <v>386.3060000000001</v>
      </c>
      <c r="O8" s="139">
        <f>'[8]Dec 2022'!T8</f>
        <v>66.290000000000006</v>
      </c>
      <c r="P8" s="139">
        <v>0</v>
      </c>
      <c r="Q8" s="139">
        <f>'[8]Dec 2022'!Q8+'[8]Jan 2023'!P8</f>
        <v>0</v>
      </c>
      <c r="R8" s="139">
        <v>0</v>
      </c>
      <c r="S8" s="139">
        <f>'[8]Dec 2022'!S8+'[8]Jan 2023'!R8</f>
        <v>0</v>
      </c>
      <c r="T8" s="139">
        <f t="shared" ref="T8:T48" si="2">O8+P8-R8</f>
        <v>66.290000000000006</v>
      </c>
      <c r="U8" s="139">
        <f t="shared" ref="U8:U48" si="3">H8+N8+T8</f>
        <v>718.01600000000008</v>
      </c>
    </row>
    <row r="9" spans="1:21" ht="38.25" customHeight="1" x14ac:dyDescent="0.35">
      <c r="A9" s="230">
        <v>3</v>
      </c>
      <c r="B9" s="231" t="s">
        <v>80</v>
      </c>
      <c r="C9" s="139">
        <f>'[8]Dec 2022'!H9</f>
        <v>209.16</v>
      </c>
      <c r="D9" s="139">
        <v>0</v>
      </c>
      <c r="E9" s="139">
        <f>'[8]Dec 2022'!E9+'[8]Jan 2023'!D9</f>
        <v>0</v>
      </c>
      <c r="F9" s="139">
        <v>0</v>
      </c>
      <c r="G9" s="139">
        <f>'[8]Dec 2022'!G9+'[8]Jan 2023'!F9</f>
        <v>0</v>
      </c>
      <c r="H9" s="139">
        <f t="shared" si="0"/>
        <v>209.16</v>
      </c>
      <c r="I9" s="139">
        <f>'[8]Dec 2022'!N9</f>
        <v>879.44800000000009</v>
      </c>
      <c r="J9" s="139">
        <v>8.9</v>
      </c>
      <c r="K9" s="139">
        <f>'[8]Dec 2022'!K9+'[8]Jan 2023'!J9</f>
        <v>187.31999999999996</v>
      </c>
      <c r="L9" s="139">
        <v>0</v>
      </c>
      <c r="M9" s="139">
        <f>'[8]Dec 2022'!M9+'[8]Jan 2023'!L9</f>
        <v>0</v>
      </c>
      <c r="N9" s="139">
        <f t="shared" si="1"/>
        <v>888.34800000000007</v>
      </c>
      <c r="O9" s="139">
        <f>'[8]Dec 2022'!T9</f>
        <v>44.739999999999995</v>
      </c>
      <c r="P9" s="139">
        <v>0</v>
      </c>
      <c r="Q9" s="139">
        <f>'[8]Dec 2022'!Q9+'[8]Jan 2023'!P9</f>
        <v>0</v>
      </c>
      <c r="R9" s="139">
        <v>0</v>
      </c>
      <c r="S9" s="139">
        <f>'[8]Dec 2022'!S9+'[8]Jan 2023'!R9</f>
        <v>0</v>
      </c>
      <c r="T9" s="139">
        <f t="shared" si="2"/>
        <v>44.739999999999995</v>
      </c>
      <c r="U9" s="139">
        <f t="shared" si="3"/>
        <v>1142.248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f>'[8]Dec 2022'!H10</f>
        <v>0</v>
      </c>
      <c r="D10" s="139">
        <v>0</v>
      </c>
      <c r="E10" s="139">
        <f>'[8]Dec 2022'!E10+'[8]Jan 2023'!D10</f>
        <v>0</v>
      </c>
      <c r="F10" s="139">
        <v>0</v>
      </c>
      <c r="G10" s="139">
        <f>'[8]Dec 2022'!G10+'[8]Jan 2023'!F10</f>
        <v>0</v>
      </c>
      <c r="H10" s="139">
        <f t="shared" si="0"/>
        <v>0</v>
      </c>
      <c r="I10" s="139">
        <f>'[8]Dec 2022'!N10</f>
        <v>351.77999999999992</v>
      </c>
      <c r="J10" s="139">
        <v>1.294</v>
      </c>
      <c r="K10" s="139">
        <f>'[8]Dec 2022'!K10+'[8]Jan 2023'!J10</f>
        <v>10.699000000000002</v>
      </c>
      <c r="L10" s="139">
        <v>0</v>
      </c>
      <c r="M10" s="139">
        <f>'[8]Dec 2022'!M10+'[8]Jan 2023'!L10</f>
        <v>0</v>
      </c>
      <c r="N10" s="139">
        <f t="shared" si="1"/>
        <v>353.0739999999999</v>
      </c>
      <c r="O10" s="139">
        <f>'[8]Dec 2022'!T10</f>
        <v>0.20000000000000007</v>
      </c>
      <c r="P10" s="139">
        <v>0</v>
      </c>
      <c r="Q10" s="139">
        <f>'[8]Dec 2022'!Q10+'[8]Jan 2023'!P10</f>
        <v>0</v>
      </c>
      <c r="R10" s="139">
        <v>0</v>
      </c>
      <c r="S10" s="139">
        <f>'[8]Dec 2022'!S10+'[8]Jan 2023'!R10</f>
        <v>0</v>
      </c>
      <c r="T10" s="139">
        <f t="shared" si="2"/>
        <v>0.20000000000000007</v>
      </c>
      <c r="U10" s="139">
        <f t="shared" si="3"/>
        <v>353.27399999999989</v>
      </c>
    </row>
    <row r="11" spans="1:21" s="111" customFormat="1" ht="38.25" customHeight="1" x14ac:dyDescent="0.4">
      <c r="A11" s="308" t="s">
        <v>82</v>
      </c>
      <c r="B11" s="309"/>
      <c r="C11" s="141">
        <f>SUM(C7:C10)</f>
        <v>481.73</v>
      </c>
      <c r="D11" s="141">
        <f t="shared" ref="D11:U11" si="4">SUM(D7:D10)</f>
        <v>0.03</v>
      </c>
      <c r="E11" s="141">
        <f t="shared" si="4"/>
        <v>0.03</v>
      </c>
      <c r="F11" s="141">
        <f t="shared" si="4"/>
        <v>0</v>
      </c>
      <c r="G11" s="141">
        <f t="shared" si="4"/>
        <v>82.86</v>
      </c>
      <c r="H11" s="141">
        <f t="shared" si="4"/>
        <v>481.76</v>
      </c>
      <c r="I11" s="141">
        <f t="shared" si="4"/>
        <v>2297.5239999999999</v>
      </c>
      <c r="J11" s="141">
        <f t="shared" si="4"/>
        <v>27.099999999999998</v>
      </c>
      <c r="K11" s="141">
        <f t="shared" si="4"/>
        <v>385.02399999999994</v>
      </c>
      <c r="L11" s="141">
        <f t="shared" si="4"/>
        <v>0</v>
      </c>
      <c r="M11" s="141">
        <f t="shared" si="4"/>
        <v>0</v>
      </c>
      <c r="N11" s="141">
        <f t="shared" si="4"/>
        <v>2324.6239999999998</v>
      </c>
      <c r="O11" s="141">
        <f t="shared" si="4"/>
        <v>119.66600000000001</v>
      </c>
      <c r="P11" s="141">
        <f t="shared" si="4"/>
        <v>0</v>
      </c>
      <c r="Q11" s="141">
        <f t="shared" si="4"/>
        <v>0</v>
      </c>
      <c r="R11" s="141">
        <f t="shared" si="4"/>
        <v>0</v>
      </c>
      <c r="S11" s="141">
        <f t="shared" si="4"/>
        <v>1.01</v>
      </c>
      <c r="T11" s="141">
        <f t="shared" si="4"/>
        <v>119.66600000000001</v>
      </c>
      <c r="U11" s="141">
        <f t="shared" si="4"/>
        <v>2926.0499999999997</v>
      </c>
    </row>
    <row r="12" spans="1:21" ht="38.25" customHeight="1" x14ac:dyDescent="0.35">
      <c r="A12" s="171">
        <v>4</v>
      </c>
      <c r="B12" s="231" t="s">
        <v>83</v>
      </c>
      <c r="C12" s="139">
        <f>'[8]Dec 2022'!H12</f>
        <v>141.9999999999996</v>
      </c>
      <c r="D12" s="139">
        <v>0</v>
      </c>
      <c r="E12" s="139">
        <f>'[8]Dec 2022'!E12+'[8]Jan 2023'!D12</f>
        <v>0</v>
      </c>
      <c r="F12" s="139">
        <v>0</v>
      </c>
      <c r="G12" s="139">
        <f>'[8]Dec 2022'!G12+'[8]Jan 2023'!F12</f>
        <v>213.31</v>
      </c>
      <c r="H12" s="139">
        <f t="shared" si="0"/>
        <v>141.9999999999996</v>
      </c>
      <c r="I12" s="139">
        <f>'[8]Dec 2022'!N12</f>
        <v>1154.1749999999997</v>
      </c>
      <c r="J12" s="221">
        <v>2.0699999999999998</v>
      </c>
      <c r="K12" s="139">
        <f>'[8]Dec 2022'!K12+'[8]Jan 2023'!J12</f>
        <v>351.53999999999996</v>
      </c>
      <c r="L12" s="139">
        <v>0</v>
      </c>
      <c r="M12" s="139">
        <f>'[8]Dec 2022'!M12+'[8]Jan 2023'!L12</f>
        <v>0</v>
      </c>
      <c r="N12" s="139">
        <f t="shared" si="1"/>
        <v>1156.2449999999997</v>
      </c>
      <c r="O12" s="139">
        <f>'[8]Dec 2022'!T12</f>
        <v>20.730000000000011</v>
      </c>
      <c r="P12" s="139">
        <v>2.11</v>
      </c>
      <c r="Q12" s="139">
        <f>'[8]Dec 2022'!Q12+'[8]Jan 2023'!P12</f>
        <v>2.11</v>
      </c>
      <c r="R12" s="139">
        <v>0</v>
      </c>
      <c r="S12" s="139">
        <f>'[8]Dec 2022'!S12+'[8]Jan 2023'!R12</f>
        <v>16.12</v>
      </c>
      <c r="T12" s="139">
        <f t="shared" si="2"/>
        <v>22.840000000000011</v>
      </c>
      <c r="U12" s="139">
        <f t="shared" si="3"/>
        <v>1321.0849999999991</v>
      </c>
    </row>
    <row r="13" spans="1:21" ht="38.25" customHeight="1" x14ac:dyDescent="0.35">
      <c r="A13" s="171">
        <v>5</v>
      </c>
      <c r="B13" s="231" t="s">
        <v>84</v>
      </c>
      <c r="C13" s="139">
        <f>'[8]Dec 2022'!H13</f>
        <v>312.23000000000013</v>
      </c>
      <c r="D13" s="139">
        <v>0</v>
      </c>
      <c r="E13" s="139">
        <f>'[8]Dec 2022'!E13+'[8]Jan 2023'!D13</f>
        <v>0</v>
      </c>
      <c r="F13" s="139">
        <v>0</v>
      </c>
      <c r="G13" s="139">
        <f>'[8]Dec 2022'!G13+'[8]Jan 2023'!F13</f>
        <v>0</v>
      </c>
      <c r="H13" s="139">
        <f t="shared" si="0"/>
        <v>312.23000000000013</v>
      </c>
      <c r="I13" s="139">
        <f>'[8]Dec 2022'!N13</f>
        <v>539.9620000000001</v>
      </c>
      <c r="J13" s="221">
        <v>2.33</v>
      </c>
      <c r="K13" s="139">
        <f>'[8]Dec 2022'!K13+'[8]Jan 2023'!J13</f>
        <v>14.46</v>
      </c>
      <c r="L13" s="139">
        <v>0</v>
      </c>
      <c r="M13" s="139">
        <f>'[8]Dec 2022'!M13+'[8]Jan 2023'!L13</f>
        <v>0.7</v>
      </c>
      <c r="N13" s="139">
        <f t="shared" si="1"/>
        <v>542.29200000000014</v>
      </c>
      <c r="O13" s="139">
        <f>'[8]Dec 2022'!T13</f>
        <v>68.39</v>
      </c>
      <c r="P13" s="139">
        <v>0</v>
      </c>
      <c r="Q13" s="139">
        <f>'[8]Dec 2022'!Q13+'[8]Jan 2023'!P13</f>
        <v>0</v>
      </c>
      <c r="R13" s="139">
        <v>0</v>
      </c>
      <c r="S13" s="139">
        <f>'[8]Dec 2022'!S13+'[8]Jan 2023'!R13</f>
        <v>0</v>
      </c>
      <c r="T13" s="139">
        <f t="shared" si="2"/>
        <v>68.39</v>
      </c>
      <c r="U13" s="139">
        <f t="shared" si="3"/>
        <v>922.91200000000026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f>'[8]Dec 2022'!H14</f>
        <v>1216.4399999999994</v>
      </c>
      <c r="D14" s="139">
        <v>0</v>
      </c>
      <c r="E14" s="139">
        <f>'[8]Dec 2022'!E14+'[8]Jan 2023'!D14</f>
        <v>0</v>
      </c>
      <c r="F14" s="139">
        <v>0</v>
      </c>
      <c r="G14" s="139">
        <f>'[8]Dec 2022'!G14+'[8]Jan 2023'!F14</f>
        <v>0</v>
      </c>
      <c r="H14" s="139">
        <f t="shared" si="0"/>
        <v>1216.4399999999994</v>
      </c>
      <c r="I14" s="139">
        <f>'[8]Dec 2022'!N14</f>
        <v>894.35800000000017</v>
      </c>
      <c r="J14" s="221">
        <v>3.01</v>
      </c>
      <c r="K14" s="139">
        <f>'[8]Dec 2022'!K14+'[8]Jan 2023'!J14</f>
        <v>32.58</v>
      </c>
      <c r="L14" s="139">
        <v>0</v>
      </c>
      <c r="M14" s="139">
        <f>'[8]Dec 2022'!M14+'[8]Jan 2023'!L14</f>
        <v>0</v>
      </c>
      <c r="N14" s="139">
        <f t="shared" si="1"/>
        <v>897.36800000000017</v>
      </c>
      <c r="O14" s="139">
        <f>'[8]Dec 2022'!T14</f>
        <v>61.329999999999991</v>
      </c>
      <c r="P14" s="139">
        <v>0</v>
      </c>
      <c r="Q14" s="139">
        <f>'[8]Dec 2022'!Q14+'[8]Jan 2023'!P14</f>
        <v>0</v>
      </c>
      <c r="R14" s="139">
        <v>0</v>
      </c>
      <c r="S14" s="139">
        <f>'[8]Dec 2022'!S14+'[8]Jan 2023'!R14</f>
        <v>0</v>
      </c>
      <c r="T14" s="139">
        <f t="shared" si="2"/>
        <v>61.329999999999991</v>
      </c>
      <c r="U14" s="139">
        <f t="shared" si="3"/>
        <v>2175.1379999999995</v>
      </c>
    </row>
    <row r="15" spans="1:21" s="111" customFormat="1" ht="38.25" customHeight="1" x14ac:dyDescent="0.4">
      <c r="A15" s="308" t="s">
        <v>86</v>
      </c>
      <c r="B15" s="309"/>
      <c r="C15" s="141">
        <f>SUM(C12:C14)</f>
        <v>1670.6699999999992</v>
      </c>
      <c r="D15" s="141">
        <f t="shared" ref="D15:U15" si="5">SUM(D12:D14)</f>
        <v>0</v>
      </c>
      <c r="E15" s="141">
        <f t="shared" si="5"/>
        <v>0</v>
      </c>
      <c r="F15" s="141">
        <f t="shared" si="5"/>
        <v>0</v>
      </c>
      <c r="G15" s="141">
        <f t="shared" si="5"/>
        <v>213.31</v>
      </c>
      <c r="H15" s="141">
        <f t="shared" si="5"/>
        <v>1670.6699999999992</v>
      </c>
      <c r="I15" s="141">
        <f t="shared" si="5"/>
        <v>2588.4949999999999</v>
      </c>
      <c r="J15" s="141">
        <f t="shared" si="5"/>
        <v>7.41</v>
      </c>
      <c r="K15" s="141">
        <f t="shared" si="5"/>
        <v>398.57999999999993</v>
      </c>
      <c r="L15" s="141">
        <f t="shared" si="5"/>
        <v>0</v>
      </c>
      <c r="M15" s="141">
        <f t="shared" si="5"/>
        <v>0.7</v>
      </c>
      <c r="N15" s="141">
        <f t="shared" si="5"/>
        <v>2595.9049999999997</v>
      </c>
      <c r="O15" s="141">
        <f t="shared" si="5"/>
        <v>150.44999999999999</v>
      </c>
      <c r="P15" s="141">
        <f t="shared" si="5"/>
        <v>2.11</v>
      </c>
      <c r="Q15" s="141">
        <f t="shared" si="5"/>
        <v>2.11</v>
      </c>
      <c r="R15" s="141">
        <f t="shared" si="5"/>
        <v>0</v>
      </c>
      <c r="S15" s="141">
        <f t="shared" si="5"/>
        <v>16.12</v>
      </c>
      <c r="T15" s="141">
        <f t="shared" si="5"/>
        <v>152.56</v>
      </c>
      <c r="U15" s="141">
        <f t="shared" si="5"/>
        <v>4419.1349999999984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f>'[8]Dec 2022'!H16</f>
        <v>780.1940000000003</v>
      </c>
      <c r="D16" s="139">
        <v>0.32</v>
      </c>
      <c r="E16" s="139">
        <f>'[8]Dec 2022'!E16+'[8]Jan 2023'!D16</f>
        <v>6.2200000000000006</v>
      </c>
      <c r="F16" s="139">
        <v>5.41</v>
      </c>
      <c r="G16" s="139">
        <f>'[8]Dec 2022'!G16+'[8]Jan 2023'!F16</f>
        <v>224.95999999999998</v>
      </c>
      <c r="H16" s="139">
        <f t="shared" si="0"/>
        <v>775.10400000000038</v>
      </c>
      <c r="I16" s="139">
        <f>'[8]Dec 2022'!N16</f>
        <v>574.44600000000003</v>
      </c>
      <c r="J16" s="139">
        <v>0.83</v>
      </c>
      <c r="K16" s="139">
        <f>'[8]Dec 2022'!K16+'[8]Jan 2023'!J16</f>
        <v>276.22999999999996</v>
      </c>
      <c r="L16" s="139">
        <v>0</v>
      </c>
      <c r="M16" s="139">
        <f>'[8]Dec 2022'!M16+'[8]Jan 2023'!L16</f>
        <v>0</v>
      </c>
      <c r="N16" s="139">
        <f t="shared" si="1"/>
        <v>575.27600000000007</v>
      </c>
      <c r="O16" s="139">
        <f>'[8]Dec 2022'!T16</f>
        <v>177.41200000000003</v>
      </c>
      <c r="P16" s="139">
        <v>0.03</v>
      </c>
      <c r="Q16" s="139">
        <f>'[8]Dec 2022'!Q16+'[8]Jan 2023'!P16</f>
        <v>0.03</v>
      </c>
      <c r="R16" s="139">
        <v>0</v>
      </c>
      <c r="S16" s="139">
        <f>'[8]Dec 2022'!S16+'[8]Jan 2023'!R16</f>
        <v>0</v>
      </c>
      <c r="T16" s="139">
        <f t="shared" si="2"/>
        <v>177.44200000000004</v>
      </c>
      <c r="U16" s="139">
        <f t="shared" si="3"/>
        <v>1527.8220000000006</v>
      </c>
    </row>
    <row r="17" spans="1:21" ht="38.25" customHeight="1" x14ac:dyDescent="0.35">
      <c r="A17" s="171">
        <v>9</v>
      </c>
      <c r="B17" s="231" t="s">
        <v>120</v>
      </c>
      <c r="C17" s="139">
        <f>'[8]Dec 2022'!H17</f>
        <v>2.6759999999999478</v>
      </c>
      <c r="D17" s="139">
        <v>0</v>
      </c>
      <c r="E17" s="139">
        <f>'[8]Dec 2022'!E17+'[8]Jan 2023'!D17</f>
        <v>0</v>
      </c>
      <c r="F17" s="139">
        <v>0</v>
      </c>
      <c r="G17" s="139">
        <f>'[8]Dec 2022'!G17+'[8]Jan 2023'!F17</f>
        <v>3.74</v>
      </c>
      <c r="H17" s="139">
        <f t="shared" si="0"/>
        <v>2.6759999999999478</v>
      </c>
      <c r="I17" s="139">
        <f>'[8]Dec 2022'!N17</f>
        <v>582.01</v>
      </c>
      <c r="J17" s="139">
        <v>1.89</v>
      </c>
      <c r="K17" s="139">
        <f>'[8]Dec 2022'!K17+'[8]Jan 2023'!J17</f>
        <v>72.150000000000006</v>
      </c>
      <c r="L17" s="139">
        <v>0</v>
      </c>
      <c r="M17" s="139">
        <f>'[8]Dec 2022'!M17+'[8]Jan 2023'!L17</f>
        <v>0</v>
      </c>
      <c r="N17" s="139">
        <f t="shared" si="1"/>
        <v>583.9</v>
      </c>
      <c r="O17" s="139">
        <f>'[8]Dec 2022'!T17</f>
        <v>1.9500000000000002</v>
      </c>
      <c r="P17" s="139">
        <v>0</v>
      </c>
      <c r="Q17" s="139">
        <f>'[8]Dec 2022'!Q17+'[8]Jan 2023'!P17</f>
        <v>1.3399999999999999</v>
      </c>
      <c r="R17" s="139">
        <v>0</v>
      </c>
      <c r="S17" s="139">
        <f>'[8]Dec 2022'!S17+'[8]Jan 2023'!R17</f>
        <v>5.72</v>
      </c>
      <c r="T17" s="139">
        <f t="shared" si="2"/>
        <v>1.9500000000000002</v>
      </c>
      <c r="U17" s="139">
        <f t="shared" si="3"/>
        <v>588.52599999999995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f>'[8]Dec 2022'!H18</f>
        <v>137.07600000000014</v>
      </c>
      <c r="D18" s="139">
        <v>0.05</v>
      </c>
      <c r="E18" s="139">
        <f>'[8]Dec 2022'!E18+'[8]Jan 2023'!D18</f>
        <v>1.35</v>
      </c>
      <c r="F18" s="139">
        <v>46.86</v>
      </c>
      <c r="G18" s="139">
        <f>'[8]Dec 2022'!G18+'[8]Jan 2023'!F18</f>
        <v>46.86</v>
      </c>
      <c r="H18" s="139">
        <f t="shared" si="0"/>
        <v>90.266000000000147</v>
      </c>
      <c r="I18" s="139">
        <f>'[8]Dec 2022'!N18</f>
        <v>492.85700000000003</v>
      </c>
      <c r="J18" s="139">
        <v>124.1</v>
      </c>
      <c r="K18" s="139">
        <f>'[8]Dec 2022'!K18+'[8]Jan 2023'!J18</f>
        <v>131.76</v>
      </c>
      <c r="L18" s="139">
        <v>0</v>
      </c>
      <c r="M18" s="139">
        <f>'[8]Dec 2022'!M18+'[8]Jan 2023'!L18</f>
        <v>0.34</v>
      </c>
      <c r="N18" s="139">
        <f t="shared" si="1"/>
        <v>616.95699999999999</v>
      </c>
      <c r="O18" s="139">
        <f>'[8]Dec 2022'!T18</f>
        <v>39.47999999999999</v>
      </c>
      <c r="P18" s="139">
        <v>0</v>
      </c>
      <c r="Q18" s="139">
        <f>'[8]Dec 2022'!Q18+'[8]Jan 2023'!P18</f>
        <v>0.89999999999999991</v>
      </c>
      <c r="R18" s="139">
        <v>3.79</v>
      </c>
      <c r="S18" s="139">
        <f>'[8]Dec 2022'!S18+'[8]Jan 2023'!R18</f>
        <v>4.08</v>
      </c>
      <c r="T18" s="139">
        <f t="shared" si="2"/>
        <v>35.689999999999991</v>
      </c>
      <c r="U18" s="139">
        <f t="shared" si="3"/>
        <v>742.91300000000012</v>
      </c>
    </row>
    <row r="19" spans="1:21" s="111" customFormat="1" ht="38.25" customHeight="1" x14ac:dyDescent="0.4">
      <c r="A19" s="308" t="s">
        <v>89</v>
      </c>
      <c r="B19" s="309"/>
      <c r="C19" s="141">
        <f>SUM(C16:C18)</f>
        <v>919.94600000000037</v>
      </c>
      <c r="D19" s="141">
        <f t="shared" ref="D19:U19" si="6">SUM(D16:D18)</f>
        <v>0.37</v>
      </c>
      <c r="E19" s="141">
        <f t="shared" si="6"/>
        <v>7.57</v>
      </c>
      <c r="F19" s="141">
        <f t="shared" si="6"/>
        <v>52.269999999999996</v>
      </c>
      <c r="G19" s="141">
        <f t="shared" si="6"/>
        <v>275.56</v>
      </c>
      <c r="H19" s="141">
        <f t="shared" si="6"/>
        <v>868.0460000000005</v>
      </c>
      <c r="I19" s="141">
        <f t="shared" si="6"/>
        <v>1649.3130000000001</v>
      </c>
      <c r="J19" s="141">
        <f t="shared" si="6"/>
        <v>126.82</v>
      </c>
      <c r="K19" s="141">
        <f t="shared" si="6"/>
        <v>480.14</v>
      </c>
      <c r="L19" s="141">
        <f t="shared" si="6"/>
        <v>0</v>
      </c>
      <c r="M19" s="141">
        <f t="shared" si="6"/>
        <v>0.34</v>
      </c>
      <c r="N19" s="141">
        <f t="shared" si="6"/>
        <v>1776.1329999999998</v>
      </c>
      <c r="O19" s="141">
        <f t="shared" si="6"/>
        <v>218.84200000000001</v>
      </c>
      <c r="P19" s="141">
        <f t="shared" si="6"/>
        <v>0.03</v>
      </c>
      <c r="Q19" s="141">
        <f t="shared" si="6"/>
        <v>2.2699999999999996</v>
      </c>
      <c r="R19" s="141">
        <f t="shared" si="6"/>
        <v>3.79</v>
      </c>
      <c r="S19" s="141">
        <f t="shared" si="6"/>
        <v>9.8000000000000007</v>
      </c>
      <c r="T19" s="141">
        <f t="shared" si="6"/>
        <v>215.08200000000002</v>
      </c>
      <c r="U19" s="141">
        <f t="shared" si="6"/>
        <v>2859.2610000000004</v>
      </c>
    </row>
    <row r="20" spans="1:21" ht="38.25" customHeight="1" x14ac:dyDescent="0.35">
      <c r="A20" s="171">
        <v>8</v>
      </c>
      <c r="B20" s="231" t="s">
        <v>91</v>
      </c>
      <c r="C20" s="139">
        <f>'[8]Dec 2022'!H20</f>
        <v>607.27999999999986</v>
      </c>
      <c r="D20" s="139">
        <v>0</v>
      </c>
      <c r="E20" s="139">
        <f>'[8]Dec 2022'!E20+'[8]Jan 2023'!D20</f>
        <v>1.62</v>
      </c>
      <c r="F20" s="139">
        <v>0</v>
      </c>
      <c r="G20" s="139">
        <f>'[8]Dec 2022'!G20+'[8]Jan 2023'!F20</f>
        <v>24.91</v>
      </c>
      <c r="H20" s="139">
        <f t="shared" si="0"/>
        <v>607.27999999999986</v>
      </c>
      <c r="I20" s="139">
        <f>'[8]Dec 2022'!N20</f>
        <v>731.77800000000025</v>
      </c>
      <c r="J20" s="139">
        <v>2.57</v>
      </c>
      <c r="K20" s="139">
        <f>'[8]Dec 2022'!K20+'[8]Jan 2023'!J20</f>
        <v>336.2</v>
      </c>
      <c r="L20" s="139">
        <v>0</v>
      </c>
      <c r="M20" s="139">
        <f>'[8]Dec 2022'!M20+'[8]Jan 2023'!L20</f>
        <v>1.04</v>
      </c>
      <c r="N20" s="139">
        <f t="shared" si="1"/>
        <v>734.3480000000003</v>
      </c>
      <c r="O20" s="139">
        <f>'[8]Dec 2022'!T20</f>
        <v>37.580000000000005</v>
      </c>
      <c r="P20" s="139">
        <v>0</v>
      </c>
      <c r="Q20" s="139">
        <f>'[8]Dec 2022'!Q20+'[8]Jan 2023'!P20</f>
        <v>0</v>
      </c>
      <c r="R20" s="139">
        <v>0</v>
      </c>
      <c r="S20" s="139">
        <f>'[8]Dec 2022'!S20+'[8]Jan 2023'!R20</f>
        <v>2.77</v>
      </c>
      <c r="T20" s="139">
        <f t="shared" si="2"/>
        <v>37.580000000000005</v>
      </c>
      <c r="U20" s="139">
        <f t="shared" si="3"/>
        <v>1379.2080000000001</v>
      </c>
    </row>
    <row r="21" spans="1:21" ht="38.25" customHeight="1" x14ac:dyDescent="0.35">
      <c r="A21" s="171">
        <v>9</v>
      </c>
      <c r="B21" s="231" t="s">
        <v>90</v>
      </c>
      <c r="C21" s="139">
        <f>'[8]Dec 2022'!H21</f>
        <v>22.51</v>
      </c>
      <c r="D21" s="139">
        <v>0</v>
      </c>
      <c r="E21" s="139">
        <f>'[8]Dec 2022'!E21+'[8]Jan 2023'!D21</f>
        <v>0</v>
      </c>
      <c r="F21" s="139">
        <v>20.440000000000001</v>
      </c>
      <c r="G21" s="139">
        <f>'[8]Dec 2022'!G21+'[8]Jan 2023'!F21</f>
        <v>20.440000000000001</v>
      </c>
      <c r="H21" s="139">
        <f t="shared" si="0"/>
        <v>2.0700000000000003</v>
      </c>
      <c r="I21" s="139">
        <f>'[8]Dec 2022'!N21</f>
        <v>424.36700000000008</v>
      </c>
      <c r="J21" s="139">
        <v>34.5</v>
      </c>
      <c r="K21" s="139">
        <f>'[8]Dec 2022'!K21+'[8]Jan 2023'!J21</f>
        <v>60.75</v>
      </c>
      <c r="L21" s="139">
        <v>0</v>
      </c>
      <c r="M21" s="139">
        <f>'[8]Dec 2022'!M21+'[8]Jan 2023'!L21</f>
        <v>0</v>
      </c>
      <c r="N21" s="139">
        <f t="shared" si="1"/>
        <v>458.86700000000008</v>
      </c>
      <c r="O21" s="139">
        <f>'[8]Dec 2022'!T21</f>
        <v>19.489999999999998</v>
      </c>
      <c r="P21" s="139">
        <v>0</v>
      </c>
      <c r="Q21" s="139">
        <f>'[8]Dec 2022'!Q21+'[8]Jan 2023'!P21</f>
        <v>0.12</v>
      </c>
      <c r="R21" s="139">
        <v>0.6</v>
      </c>
      <c r="S21" s="139">
        <f>'[8]Dec 2022'!S21+'[8]Jan 2023'!R21</f>
        <v>0.6</v>
      </c>
      <c r="T21" s="139">
        <f t="shared" si="2"/>
        <v>18.889999999999997</v>
      </c>
      <c r="U21" s="139">
        <f t="shared" si="3"/>
        <v>479.82700000000006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f>'[8]Dec 2022'!H22</f>
        <v>22.430000000000021</v>
      </c>
      <c r="D22" s="139">
        <v>0</v>
      </c>
      <c r="E22" s="139">
        <f>'[8]Dec 2022'!E22+'[8]Jan 2023'!D22</f>
        <v>0</v>
      </c>
      <c r="F22" s="139">
        <v>0</v>
      </c>
      <c r="G22" s="139">
        <f>'[8]Dec 2022'!G22+'[8]Jan 2023'!F22</f>
        <v>0</v>
      </c>
      <c r="H22" s="139">
        <f t="shared" si="0"/>
        <v>22.430000000000021</v>
      </c>
      <c r="I22" s="139">
        <f>'[8]Dec 2022'!N22</f>
        <v>696.95000000000016</v>
      </c>
      <c r="J22" s="139">
        <v>0.7</v>
      </c>
      <c r="K22" s="139">
        <f>'[8]Dec 2022'!K22+'[8]Jan 2023'!J22</f>
        <v>8.759999999999998</v>
      </c>
      <c r="L22" s="139">
        <v>0</v>
      </c>
      <c r="M22" s="139">
        <f>'[8]Dec 2022'!M22+'[8]Jan 2023'!L22</f>
        <v>0.08</v>
      </c>
      <c r="N22" s="139">
        <f t="shared" si="1"/>
        <v>697.6500000000002</v>
      </c>
      <c r="O22" s="139">
        <f>'[8]Dec 2022'!T22</f>
        <v>0.60000000000000098</v>
      </c>
      <c r="P22" s="139">
        <v>0</v>
      </c>
      <c r="Q22" s="139">
        <f>'[8]Dec 2022'!Q22+'[8]Jan 2023'!P22</f>
        <v>0</v>
      </c>
      <c r="R22" s="139">
        <v>0</v>
      </c>
      <c r="S22" s="139">
        <f>'[8]Dec 2022'!S22+'[8]Jan 2023'!R22</f>
        <v>0</v>
      </c>
      <c r="T22" s="139">
        <f t="shared" si="2"/>
        <v>0.60000000000000098</v>
      </c>
      <c r="U22" s="139">
        <f t="shared" si="3"/>
        <v>720.68000000000029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f>'[8]Dec 2022'!H23</f>
        <v>430.64</v>
      </c>
      <c r="D23" s="139">
        <v>0</v>
      </c>
      <c r="E23" s="139">
        <f>'[8]Dec 2022'!E23+'[8]Jan 2023'!D23</f>
        <v>3.4</v>
      </c>
      <c r="F23" s="139">
        <v>0</v>
      </c>
      <c r="G23" s="139">
        <f>'[8]Dec 2022'!G23+'[8]Jan 2023'!F23</f>
        <v>0</v>
      </c>
      <c r="H23" s="139">
        <f t="shared" si="0"/>
        <v>430.64</v>
      </c>
      <c r="I23" s="139">
        <f>'[8]Dec 2022'!N23</f>
        <v>127.035</v>
      </c>
      <c r="J23" s="139">
        <v>3.38</v>
      </c>
      <c r="K23" s="139">
        <f>'[8]Dec 2022'!K23+'[8]Jan 2023'!J23</f>
        <v>28.53</v>
      </c>
      <c r="L23" s="139">
        <v>0</v>
      </c>
      <c r="M23" s="139">
        <f>'[8]Dec 2022'!M23+'[8]Jan 2023'!L23</f>
        <v>0</v>
      </c>
      <c r="N23" s="139">
        <f t="shared" si="1"/>
        <v>130.41499999999999</v>
      </c>
      <c r="O23" s="139">
        <f>'[8]Dec 2022'!T23</f>
        <v>22.5</v>
      </c>
      <c r="P23" s="139">
        <v>0</v>
      </c>
      <c r="Q23" s="139">
        <f>'[8]Dec 2022'!Q23+'[8]Jan 2023'!P23</f>
        <v>0</v>
      </c>
      <c r="R23" s="139">
        <v>0</v>
      </c>
      <c r="S23" s="139">
        <f>'[8]Dec 2022'!S23+'[8]Jan 2023'!R23</f>
        <v>0</v>
      </c>
      <c r="T23" s="139">
        <f t="shared" si="2"/>
        <v>22.5</v>
      </c>
      <c r="U23" s="139">
        <f t="shared" si="3"/>
        <v>583.55499999999995</v>
      </c>
    </row>
    <row r="24" spans="1:21" s="111" customFormat="1" ht="38.25" customHeight="1" x14ac:dyDescent="0.4">
      <c r="A24" s="313" t="s">
        <v>94</v>
      </c>
      <c r="B24" s="313"/>
      <c r="C24" s="141">
        <f>SUM(C20:C23)</f>
        <v>1082.8599999999999</v>
      </c>
      <c r="D24" s="141">
        <f t="shared" ref="D24:U24" si="7">SUM(D20:D23)</f>
        <v>0</v>
      </c>
      <c r="E24" s="141">
        <f t="shared" si="7"/>
        <v>5.0199999999999996</v>
      </c>
      <c r="F24" s="141">
        <f t="shared" si="7"/>
        <v>20.440000000000001</v>
      </c>
      <c r="G24" s="141">
        <f t="shared" si="7"/>
        <v>45.35</v>
      </c>
      <c r="H24" s="141">
        <f t="shared" si="7"/>
        <v>1062.42</v>
      </c>
      <c r="I24" s="141">
        <f t="shared" si="7"/>
        <v>1980.1300000000008</v>
      </c>
      <c r="J24" s="141">
        <f t="shared" si="7"/>
        <v>41.150000000000006</v>
      </c>
      <c r="K24" s="141">
        <f t="shared" si="7"/>
        <v>434.24</v>
      </c>
      <c r="L24" s="141">
        <f t="shared" si="7"/>
        <v>0</v>
      </c>
      <c r="M24" s="141">
        <f t="shared" si="7"/>
        <v>1.1200000000000001</v>
      </c>
      <c r="N24" s="141">
        <f t="shared" si="7"/>
        <v>2021.2800000000007</v>
      </c>
      <c r="O24" s="141">
        <f t="shared" si="7"/>
        <v>80.170000000000016</v>
      </c>
      <c r="P24" s="141">
        <f t="shared" si="7"/>
        <v>0</v>
      </c>
      <c r="Q24" s="141">
        <f t="shared" si="7"/>
        <v>0.12</v>
      </c>
      <c r="R24" s="141">
        <f t="shared" si="7"/>
        <v>0.6</v>
      </c>
      <c r="S24" s="141">
        <f t="shared" si="7"/>
        <v>3.37</v>
      </c>
      <c r="T24" s="141">
        <f t="shared" si="7"/>
        <v>79.569999999999993</v>
      </c>
      <c r="U24" s="141">
        <f t="shared" si="7"/>
        <v>3163.27</v>
      </c>
    </row>
    <row r="25" spans="1:21" s="145" customFormat="1" ht="38.25" customHeight="1" x14ac:dyDescent="0.4">
      <c r="A25" s="308" t="s">
        <v>95</v>
      </c>
      <c r="B25" s="309"/>
      <c r="C25" s="141">
        <f>C24+C19+C15+C11</f>
        <v>4155.2060000000001</v>
      </c>
      <c r="D25" s="141">
        <f t="shared" ref="D25:U25" si="8">D24+D19+D15+D11</f>
        <v>0.4</v>
      </c>
      <c r="E25" s="141">
        <f t="shared" si="8"/>
        <v>12.62</v>
      </c>
      <c r="F25" s="141">
        <f t="shared" si="8"/>
        <v>72.709999999999994</v>
      </c>
      <c r="G25" s="141">
        <f t="shared" si="8"/>
        <v>617.08000000000004</v>
      </c>
      <c r="H25" s="141">
        <f t="shared" si="8"/>
        <v>4082.8959999999997</v>
      </c>
      <c r="I25" s="141">
        <f t="shared" si="8"/>
        <v>8515.4620000000014</v>
      </c>
      <c r="J25" s="141">
        <f t="shared" si="8"/>
        <v>202.48</v>
      </c>
      <c r="K25" s="141">
        <f t="shared" si="8"/>
        <v>1697.9839999999999</v>
      </c>
      <c r="L25" s="141">
        <f t="shared" si="8"/>
        <v>0</v>
      </c>
      <c r="M25" s="141">
        <f t="shared" si="8"/>
        <v>2.16</v>
      </c>
      <c r="N25" s="141">
        <f t="shared" si="8"/>
        <v>8717.9419999999991</v>
      </c>
      <c r="O25" s="141">
        <f t="shared" si="8"/>
        <v>569.12800000000004</v>
      </c>
      <c r="P25" s="141">
        <f t="shared" si="8"/>
        <v>2.1399999999999997</v>
      </c>
      <c r="Q25" s="141">
        <f t="shared" si="8"/>
        <v>4.5</v>
      </c>
      <c r="R25" s="141">
        <f t="shared" si="8"/>
        <v>4.3899999999999997</v>
      </c>
      <c r="S25" s="141">
        <f t="shared" si="8"/>
        <v>30.300000000000004</v>
      </c>
      <c r="T25" s="141">
        <f t="shared" si="8"/>
        <v>566.87800000000004</v>
      </c>
      <c r="U25" s="141">
        <f t="shared" si="8"/>
        <v>13367.715999999999</v>
      </c>
    </row>
    <row r="26" spans="1:21" ht="38.25" customHeight="1" x14ac:dyDescent="0.35">
      <c r="A26" s="171">
        <v>15</v>
      </c>
      <c r="B26" s="231" t="s">
        <v>96</v>
      </c>
      <c r="C26" s="139">
        <f>'[8]Dec 2022'!H26</f>
        <v>1599.24</v>
      </c>
      <c r="D26" s="139">
        <v>4.51</v>
      </c>
      <c r="E26" s="139">
        <f>'[8]Dec 2022'!E26+'[8]Jan 2023'!D26</f>
        <v>50.769999999999989</v>
      </c>
      <c r="F26" s="139">
        <v>0</v>
      </c>
      <c r="G26" s="139">
        <f>'[8]Dec 2022'!G26+'[8]Jan 2023'!F26</f>
        <v>0</v>
      </c>
      <c r="H26" s="139">
        <f t="shared" si="0"/>
        <v>1603.75</v>
      </c>
      <c r="I26" s="139">
        <f>'[8]Dec 2022'!N26</f>
        <v>102.97999999999999</v>
      </c>
      <c r="J26" s="139">
        <v>0</v>
      </c>
      <c r="K26" s="139">
        <f>'[8]Dec 2022'!K26+'[8]Jan 2023'!J26</f>
        <v>35.65</v>
      </c>
      <c r="L26" s="139">
        <v>0</v>
      </c>
      <c r="M26" s="139">
        <f>'[8]Dec 2022'!M26+'[8]Jan 2023'!L26</f>
        <v>0</v>
      </c>
      <c r="N26" s="139">
        <f t="shared" si="1"/>
        <v>102.97999999999999</v>
      </c>
      <c r="O26" s="139">
        <f>'[8]Dec 2022'!T26</f>
        <v>16.259999999999998</v>
      </c>
      <c r="P26" s="139">
        <v>0</v>
      </c>
      <c r="Q26" s="139">
        <f>'[8]Dec 2022'!Q26+'[8]Jan 2023'!P26</f>
        <v>0.15</v>
      </c>
      <c r="R26" s="139">
        <v>0</v>
      </c>
      <c r="S26" s="139">
        <f>'[8]Dec 2022'!S26+'[8]Jan 2023'!R26</f>
        <v>0</v>
      </c>
      <c r="T26" s="139">
        <f t="shared" si="2"/>
        <v>16.259999999999998</v>
      </c>
      <c r="U26" s="139">
        <f t="shared" si="3"/>
        <v>1722.99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f>'[8]Dec 2022'!H27</f>
        <v>5672.1550000000043</v>
      </c>
      <c r="D27" s="139">
        <v>3.52</v>
      </c>
      <c r="E27" s="139">
        <f>'[8]Dec 2022'!E27+'[8]Jan 2023'!D27</f>
        <v>98.97</v>
      </c>
      <c r="F27" s="139">
        <v>0</v>
      </c>
      <c r="G27" s="139">
        <f>'[8]Dec 2022'!G27+'[8]Jan 2023'!F27</f>
        <v>0</v>
      </c>
      <c r="H27" s="139">
        <f t="shared" si="0"/>
        <v>5675.6750000000047</v>
      </c>
      <c r="I27" s="139">
        <f>'[8]Dec 2022'!N27</f>
        <v>617.09799999999996</v>
      </c>
      <c r="J27" s="139">
        <v>3.04</v>
      </c>
      <c r="K27" s="139">
        <f>'[8]Dec 2022'!K27+'[8]Jan 2023'!J27</f>
        <v>25.950000000000003</v>
      </c>
      <c r="L27" s="139">
        <v>0</v>
      </c>
      <c r="M27" s="139">
        <f>'[8]Dec 2022'!M27+'[8]Jan 2023'!L27</f>
        <v>0</v>
      </c>
      <c r="N27" s="139">
        <f t="shared" si="1"/>
        <v>620.13799999999992</v>
      </c>
      <c r="O27" s="139">
        <f>'[8]Dec 2022'!T27</f>
        <v>33.590000000000003</v>
      </c>
      <c r="P27" s="139">
        <v>0.17</v>
      </c>
      <c r="Q27" s="139">
        <f>'[8]Dec 2022'!Q27+'[8]Jan 2023'!P27</f>
        <v>0.27</v>
      </c>
      <c r="R27" s="139">
        <v>0</v>
      </c>
      <c r="S27" s="139">
        <f>'[8]Dec 2022'!S27+'[8]Jan 2023'!R27</f>
        <v>0</v>
      </c>
      <c r="T27" s="139">
        <f t="shared" si="2"/>
        <v>33.760000000000005</v>
      </c>
      <c r="U27" s="139">
        <f t="shared" si="3"/>
        <v>6329.5730000000049</v>
      </c>
    </row>
    <row r="28" spans="1:21" s="111" customFormat="1" ht="38.25" customHeight="1" x14ac:dyDescent="0.4">
      <c r="A28" s="313" t="s">
        <v>98</v>
      </c>
      <c r="B28" s="313"/>
      <c r="C28" s="141">
        <f>SUM(C26:C27)</f>
        <v>7271.3950000000041</v>
      </c>
      <c r="D28" s="141">
        <f t="shared" ref="D28:U28" si="9">SUM(D26:D27)</f>
        <v>8.0299999999999994</v>
      </c>
      <c r="E28" s="141">
        <f t="shared" si="9"/>
        <v>149.73999999999998</v>
      </c>
      <c r="F28" s="141">
        <f t="shared" si="9"/>
        <v>0</v>
      </c>
      <c r="G28" s="141">
        <f t="shared" si="9"/>
        <v>0</v>
      </c>
      <c r="H28" s="141">
        <f t="shared" si="9"/>
        <v>7279.4250000000047</v>
      </c>
      <c r="I28" s="141">
        <f t="shared" si="9"/>
        <v>720.07799999999997</v>
      </c>
      <c r="J28" s="141">
        <f t="shared" si="9"/>
        <v>3.04</v>
      </c>
      <c r="K28" s="141">
        <f t="shared" si="9"/>
        <v>61.6</v>
      </c>
      <c r="L28" s="141">
        <f t="shared" si="9"/>
        <v>0</v>
      </c>
      <c r="M28" s="141">
        <f t="shared" si="9"/>
        <v>0</v>
      </c>
      <c r="N28" s="141">
        <f t="shared" si="9"/>
        <v>723.11799999999994</v>
      </c>
      <c r="O28" s="141">
        <f t="shared" si="9"/>
        <v>49.85</v>
      </c>
      <c r="P28" s="141">
        <f t="shared" si="9"/>
        <v>0.17</v>
      </c>
      <c r="Q28" s="141">
        <f t="shared" si="9"/>
        <v>0.42000000000000004</v>
      </c>
      <c r="R28" s="141">
        <f t="shared" si="9"/>
        <v>0</v>
      </c>
      <c r="S28" s="141">
        <f t="shared" si="9"/>
        <v>0</v>
      </c>
      <c r="T28" s="141">
        <f t="shared" si="9"/>
        <v>50.02</v>
      </c>
      <c r="U28" s="141">
        <f t="shared" si="9"/>
        <v>8052.5630000000046</v>
      </c>
    </row>
    <row r="29" spans="1:21" ht="38.25" customHeight="1" x14ac:dyDescent="0.35">
      <c r="A29" s="171">
        <v>17</v>
      </c>
      <c r="B29" s="231" t="s">
        <v>99</v>
      </c>
      <c r="C29" s="139">
        <f>'[8]Dec 2022'!H29</f>
        <v>4875.4980000000014</v>
      </c>
      <c r="D29" s="139">
        <v>2.36</v>
      </c>
      <c r="E29" s="139">
        <f>'[8]Dec 2022'!E29+'[8]Jan 2023'!D29</f>
        <v>224.39000000000001</v>
      </c>
      <c r="F29" s="139">
        <v>0</v>
      </c>
      <c r="G29" s="139">
        <f>'[8]Dec 2022'!G29+'[8]Jan 2023'!F29</f>
        <v>0</v>
      </c>
      <c r="H29" s="139">
        <f t="shared" si="0"/>
        <v>4877.8580000000011</v>
      </c>
      <c r="I29" s="139">
        <f>'[8]Dec 2022'!N29</f>
        <v>121.09000000000002</v>
      </c>
      <c r="J29" s="139">
        <v>0.44</v>
      </c>
      <c r="K29" s="139">
        <f>'[8]Dec 2022'!K29+'[8]Jan 2023'!J29</f>
        <v>2.14</v>
      </c>
      <c r="L29" s="139">
        <v>0</v>
      </c>
      <c r="M29" s="139">
        <f>'[8]Dec 2022'!M29+'[8]Jan 2023'!L29</f>
        <v>0</v>
      </c>
      <c r="N29" s="139">
        <f t="shared" si="1"/>
        <v>121.53000000000002</v>
      </c>
      <c r="O29" s="139">
        <f>'[8]Dec 2022'!T29</f>
        <v>34.52000000000001</v>
      </c>
      <c r="P29" s="139">
        <v>0</v>
      </c>
      <c r="Q29" s="139">
        <f>'[8]Dec 2022'!Q29+'[8]Jan 2023'!P29</f>
        <v>0</v>
      </c>
      <c r="R29" s="139">
        <v>0</v>
      </c>
      <c r="S29" s="139">
        <f>'[8]Dec 2022'!S29+'[8]Jan 2023'!R29</f>
        <v>23.2</v>
      </c>
      <c r="T29" s="139">
        <f t="shared" si="2"/>
        <v>34.52000000000001</v>
      </c>
      <c r="U29" s="139">
        <f t="shared" si="3"/>
        <v>5033.9080000000013</v>
      </c>
    </row>
    <row r="30" spans="1:21" ht="38.25" customHeight="1" x14ac:dyDescent="0.35">
      <c r="A30" s="171">
        <v>18</v>
      </c>
      <c r="B30" s="231" t="s">
        <v>100</v>
      </c>
      <c r="C30" s="139">
        <f>'[8]Dec 2022'!H30</f>
        <v>3671.1199999999994</v>
      </c>
      <c r="D30" s="139">
        <v>21.33</v>
      </c>
      <c r="E30" s="139">
        <f>'[8]Dec 2022'!E30+'[8]Jan 2023'!D30</f>
        <v>80.110000000000014</v>
      </c>
      <c r="F30" s="139">
        <v>0</v>
      </c>
      <c r="G30" s="139">
        <f>'[8]Dec 2022'!G30+'[8]Jan 2023'!F30</f>
        <v>0</v>
      </c>
      <c r="H30" s="139">
        <f t="shared" si="0"/>
        <v>3692.4499999999994</v>
      </c>
      <c r="I30" s="139">
        <f>'[8]Dec 2022'!N30</f>
        <v>198.58699999999999</v>
      </c>
      <c r="J30" s="139">
        <v>0</v>
      </c>
      <c r="K30" s="139">
        <f>'[8]Dec 2022'!K30+'[8]Jan 2023'!J30</f>
        <v>88</v>
      </c>
      <c r="L30" s="139">
        <v>0</v>
      </c>
      <c r="M30" s="139">
        <f>'[8]Dec 2022'!M30+'[8]Jan 2023'!L30</f>
        <v>0</v>
      </c>
      <c r="N30" s="139">
        <f t="shared" si="1"/>
        <v>198.58699999999999</v>
      </c>
      <c r="O30" s="139">
        <f>'[8]Dec 2022'!T30</f>
        <v>23.25</v>
      </c>
      <c r="P30" s="139">
        <v>0</v>
      </c>
      <c r="Q30" s="139">
        <f>'[8]Dec 2022'!Q30+'[8]Jan 2023'!P30</f>
        <v>0</v>
      </c>
      <c r="R30" s="139">
        <v>0</v>
      </c>
      <c r="S30" s="139">
        <f>'[8]Dec 2022'!S30+'[8]Jan 2023'!R30</f>
        <v>0</v>
      </c>
      <c r="T30" s="139">
        <f t="shared" si="2"/>
        <v>23.25</v>
      </c>
      <c r="U30" s="139">
        <f t="shared" si="3"/>
        <v>3914.2869999999994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f>'[8]Dec 2022'!H31</f>
        <v>4692.5470000000005</v>
      </c>
      <c r="D31" s="139">
        <v>3.8450000000000002</v>
      </c>
      <c r="E31" s="139">
        <f>'[8]Dec 2022'!E31+'[8]Jan 2023'!D31</f>
        <v>30.813000000000002</v>
      </c>
      <c r="F31" s="139">
        <v>0</v>
      </c>
      <c r="G31" s="139">
        <f>'[8]Dec 2022'!G31+'[8]Jan 2023'!F31</f>
        <v>0</v>
      </c>
      <c r="H31" s="139">
        <f t="shared" si="0"/>
        <v>4696.3920000000007</v>
      </c>
      <c r="I31" s="139">
        <f>'[8]Dec 2022'!N31</f>
        <v>107.69000000000003</v>
      </c>
      <c r="J31" s="139">
        <v>0</v>
      </c>
      <c r="K31" s="139">
        <f>'[8]Dec 2022'!K31+'[8]Jan 2023'!J31</f>
        <v>0.06</v>
      </c>
      <c r="L31" s="139">
        <v>0</v>
      </c>
      <c r="M31" s="139">
        <f>'[8]Dec 2022'!M31+'[8]Jan 2023'!L31</f>
        <v>0</v>
      </c>
      <c r="N31" s="139">
        <f t="shared" si="1"/>
        <v>107.69000000000003</v>
      </c>
      <c r="O31" s="139">
        <f>'[8]Dec 2022'!T31</f>
        <v>14.850000000000001</v>
      </c>
      <c r="P31" s="139">
        <v>0</v>
      </c>
      <c r="Q31" s="139">
        <f>'[8]Dec 2022'!Q31+'[8]Jan 2023'!P31</f>
        <v>0</v>
      </c>
      <c r="R31" s="139">
        <v>0</v>
      </c>
      <c r="S31" s="139">
        <f>'[8]Dec 2022'!S31+'[8]Jan 2023'!R31</f>
        <v>0</v>
      </c>
      <c r="T31" s="139">
        <f t="shared" si="2"/>
        <v>14.850000000000001</v>
      </c>
      <c r="U31" s="139">
        <f t="shared" si="3"/>
        <v>4818.9320000000007</v>
      </c>
    </row>
    <row r="32" spans="1:21" ht="38.25" customHeight="1" x14ac:dyDescent="0.35">
      <c r="A32" s="171">
        <v>20</v>
      </c>
      <c r="B32" s="231" t="s">
        <v>102</v>
      </c>
      <c r="C32" s="139">
        <f>'[8]Dec 2022'!H32</f>
        <v>2363.3957999999993</v>
      </c>
      <c r="D32" s="139">
        <v>3.33</v>
      </c>
      <c r="E32" s="139">
        <f>'[8]Dec 2022'!E32+'[8]Jan 2023'!D32</f>
        <v>23.870000000000005</v>
      </c>
      <c r="F32" s="139">
        <v>0</v>
      </c>
      <c r="G32" s="139">
        <f>'[8]Dec 2022'!G32+'[8]Jan 2023'!F32</f>
        <v>0</v>
      </c>
      <c r="H32" s="139">
        <f t="shared" si="0"/>
        <v>2366.7257999999993</v>
      </c>
      <c r="I32" s="139">
        <f>'[8]Dec 2022'!N32</f>
        <v>88.736000000000004</v>
      </c>
      <c r="J32" s="139">
        <v>0.62</v>
      </c>
      <c r="K32" s="139">
        <f>'[8]Dec 2022'!K32+'[8]Jan 2023'!J32</f>
        <v>6.59</v>
      </c>
      <c r="L32" s="139">
        <v>0</v>
      </c>
      <c r="M32" s="139">
        <f>'[8]Dec 2022'!M32+'[8]Jan 2023'!L32</f>
        <v>0</v>
      </c>
      <c r="N32" s="139">
        <f t="shared" si="1"/>
        <v>89.356000000000009</v>
      </c>
      <c r="O32" s="139">
        <f>'[8]Dec 2022'!T32</f>
        <v>67.551999999999992</v>
      </c>
      <c r="P32" s="139">
        <v>0</v>
      </c>
      <c r="Q32" s="139">
        <f>'[8]Dec 2022'!Q32+'[8]Jan 2023'!P32</f>
        <v>0</v>
      </c>
      <c r="R32" s="139">
        <v>0</v>
      </c>
      <c r="S32" s="139">
        <f>'[8]Dec 2022'!S32+'[8]Jan 2023'!R32</f>
        <v>0</v>
      </c>
      <c r="T32" s="139">
        <f t="shared" si="2"/>
        <v>67.551999999999992</v>
      </c>
      <c r="U32" s="139">
        <f t="shared" si="3"/>
        <v>2523.6337999999996</v>
      </c>
    </row>
    <row r="33" spans="1:21" s="111" customFormat="1" ht="38.25" customHeight="1" x14ac:dyDescent="0.4">
      <c r="A33" s="313" t="s">
        <v>99</v>
      </c>
      <c r="B33" s="313"/>
      <c r="C33" s="141">
        <f>SUM(C29:C32)</f>
        <v>15602.560799999999</v>
      </c>
      <c r="D33" s="141">
        <f t="shared" ref="D33:U33" si="10">SUM(D29:D32)</f>
        <v>30.864999999999995</v>
      </c>
      <c r="E33" s="141">
        <f t="shared" si="10"/>
        <v>359.18299999999999</v>
      </c>
      <c r="F33" s="141">
        <f t="shared" si="10"/>
        <v>0</v>
      </c>
      <c r="G33" s="141">
        <f t="shared" si="10"/>
        <v>0</v>
      </c>
      <c r="H33" s="141">
        <f t="shared" si="10"/>
        <v>15633.425800000001</v>
      </c>
      <c r="I33" s="141">
        <f t="shared" si="10"/>
        <v>516.10300000000007</v>
      </c>
      <c r="J33" s="141">
        <f t="shared" si="10"/>
        <v>1.06</v>
      </c>
      <c r="K33" s="141">
        <f t="shared" si="10"/>
        <v>96.79</v>
      </c>
      <c r="L33" s="141">
        <f t="shared" si="10"/>
        <v>0</v>
      </c>
      <c r="M33" s="141">
        <f t="shared" si="10"/>
        <v>0</v>
      </c>
      <c r="N33" s="141">
        <f t="shared" si="10"/>
        <v>517.16300000000001</v>
      </c>
      <c r="O33" s="141">
        <f t="shared" si="10"/>
        <v>140.172</v>
      </c>
      <c r="P33" s="141">
        <f t="shared" si="10"/>
        <v>0</v>
      </c>
      <c r="Q33" s="141">
        <f t="shared" si="10"/>
        <v>0</v>
      </c>
      <c r="R33" s="141">
        <f t="shared" si="10"/>
        <v>0</v>
      </c>
      <c r="S33" s="141">
        <f t="shared" si="10"/>
        <v>23.2</v>
      </c>
      <c r="T33" s="141">
        <f t="shared" si="10"/>
        <v>140.172</v>
      </c>
      <c r="U33" s="141">
        <f t="shared" si="10"/>
        <v>16290.7608</v>
      </c>
    </row>
    <row r="34" spans="1:21" ht="38.25" customHeight="1" x14ac:dyDescent="0.35">
      <c r="A34" s="171">
        <v>21</v>
      </c>
      <c r="B34" s="231" t="s">
        <v>103</v>
      </c>
      <c r="C34" s="139">
        <f>'[8]Dec 2022'!H34</f>
        <v>4569.62</v>
      </c>
      <c r="D34" s="139">
        <v>7.25</v>
      </c>
      <c r="E34" s="139">
        <f>'[8]Dec 2022'!E34+'[8]Jan 2023'!D34</f>
        <v>147.65999999999997</v>
      </c>
      <c r="F34" s="139">
        <v>0</v>
      </c>
      <c r="G34" s="139">
        <f>'[8]Dec 2022'!G34+'[8]Jan 2023'!F34</f>
        <v>9.89</v>
      </c>
      <c r="H34" s="139">
        <f t="shared" si="0"/>
        <v>4576.87</v>
      </c>
      <c r="I34" s="139">
        <f>'[8]Dec 2022'!N34</f>
        <v>107.38999999999999</v>
      </c>
      <c r="J34" s="139">
        <v>0.69</v>
      </c>
      <c r="K34" s="139">
        <f>'[8]Dec 2022'!K34+'[8]Jan 2023'!J34</f>
        <v>108.07999999999998</v>
      </c>
      <c r="L34" s="139">
        <v>0</v>
      </c>
      <c r="M34" s="139">
        <f>'[8]Dec 2022'!M34+'[8]Jan 2023'!L34</f>
        <v>0</v>
      </c>
      <c r="N34" s="139">
        <f t="shared" si="1"/>
        <v>108.07999999999998</v>
      </c>
      <c r="O34" s="139">
        <f>'[8]Dec 2022'!T34</f>
        <v>72.7</v>
      </c>
      <c r="P34" s="139">
        <v>0</v>
      </c>
      <c r="Q34" s="139">
        <f>'[8]Dec 2022'!Q34+'[8]Jan 2023'!P34</f>
        <v>72.7</v>
      </c>
      <c r="R34" s="139">
        <v>0</v>
      </c>
      <c r="S34" s="139">
        <f>'[8]Dec 2022'!S34+'[8]Jan 2023'!R34</f>
        <v>0</v>
      </c>
      <c r="T34" s="139">
        <f t="shared" si="2"/>
        <v>72.7</v>
      </c>
      <c r="U34" s="139">
        <f t="shared" si="3"/>
        <v>4757.6499999999996</v>
      </c>
    </row>
    <row r="35" spans="1:21" ht="38.25" customHeight="1" x14ac:dyDescent="0.35">
      <c r="A35" s="171">
        <v>22</v>
      </c>
      <c r="B35" s="231" t="s">
        <v>104</v>
      </c>
      <c r="C35" s="139">
        <f>'[8]Dec 2022'!H35</f>
        <v>6587.6299999999974</v>
      </c>
      <c r="D35" s="139">
        <v>18.510000000000002</v>
      </c>
      <c r="E35" s="139">
        <f>'[8]Dec 2022'!E35+'[8]Jan 2023'!D35</f>
        <v>396.56</v>
      </c>
      <c r="F35" s="139">
        <v>0</v>
      </c>
      <c r="G35" s="139">
        <f>'[8]Dec 2022'!G35+'[8]Jan 2023'!F35</f>
        <v>0</v>
      </c>
      <c r="H35" s="139">
        <f t="shared" si="0"/>
        <v>6606.1399999999976</v>
      </c>
      <c r="I35" s="139">
        <f>'[8]Dec 2022'!N35</f>
        <v>34.130000000000003</v>
      </c>
      <c r="J35" s="139">
        <v>0</v>
      </c>
      <c r="K35" s="139">
        <f>'[8]Dec 2022'!K35+'[8]Jan 2023'!J35</f>
        <v>27.21</v>
      </c>
      <c r="L35" s="139">
        <v>0</v>
      </c>
      <c r="M35" s="139">
        <f>'[8]Dec 2022'!M35+'[8]Jan 2023'!L35</f>
        <v>0</v>
      </c>
      <c r="N35" s="139">
        <f t="shared" si="1"/>
        <v>34.130000000000003</v>
      </c>
      <c r="O35" s="139">
        <f>'[8]Dec 2022'!T35</f>
        <v>90.800000000000011</v>
      </c>
      <c r="P35" s="139">
        <v>0</v>
      </c>
      <c r="Q35" s="139">
        <f>'[8]Dec 2022'!Q35+'[8]Jan 2023'!P35</f>
        <v>32.380000000000003</v>
      </c>
      <c r="R35" s="139">
        <v>0</v>
      </c>
      <c r="S35" s="139">
        <f>'[8]Dec 2022'!S35+'[8]Jan 2023'!R35</f>
        <v>0</v>
      </c>
      <c r="T35" s="139">
        <f t="shared" si="2"/>
        <v>90.800000000000011</v>
      </c>
      <c r="U35" s="139">
        <f t="shared" si="3"/>
        <v>6731.0699999999979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f>'[8]Dec 2022'!H36</f>
        <v>3646.3</v>
      </c>
      <c r="D36" s="139">
        <v>17.100000000000001</v>
      </c>
      <c r="E36" s="139">
        <f>'[8]Dec 2022'!E36+'[8]Jan 2023'!D36</f>
        <v>212.29999999999998</v>
      </c>
      <c r="F36" s="139">
        <v>0</v>
      </c>
      <c r="G36" s="139">
        <f>'[8]Dec 2022'!G36+'[8]Jan 2023'!F36</f>
        <v>0</v>
      </c>
      <c r="H36" s="139">
        <f t="shared" si="0"/>
        <v>3663.4</v>
      </c>
      <c r="I36" s="139">
        <f>'[8]Dec 2022'!N36</f>
        <v>30.250000000000039</v>
      </c>
      <c r="J36" s="139">
        <v>0</v>
      </c>
      <c r="K36" s="139">
        <f>'[8]Dec 2022'!K36+'[8]Jan 2023'!J36</f>
        <v>5.2</v>
      </c>
      <c r="L36" s="139">
        <v>0</v>
      </c>
      <c r="M36" s="139">
        <f>'[8]Dec 2022'!M36+'[8]Jan 2023'!L36</f>
        <v>4.63</v>
      </c>
      <c r="N36" s="139">
        <f t="shared" si="1"/>
        <v>30.250000000000039</v>
      </c>
      <c r="O36" s="139">
        <f>'[8]Dec 2022'!T36</f>
        <v>36.379999999999995</v>
      </c>
      <c r="P36" s="139">
        <v>0</v>
      </c>
      <c r="Q36" s="139">
        <f>'[8]Dec 2022'!Q36+'[8]Jan 2023'!P36</f>
        <v>19.29</v>
      </c>
      <c r="R36" s="139">
        <v>0</v>
      </c>
      <c r="S36" s="139">
        <f>'[8]Dec 2022'!S36+'[8]Jan 2023'!R36</f>
        <v>0</v>
      </c>
      <c r="T36" s="139">
        <f t="shared" si="2"/>
        <v>36.379999999999995</v>
      </c>
      <c r="U36" s="139">
        <f t="shared" si="3"/>
        <v>3730.03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f>'[8]Dec 2022'!H37</f>
        <v>5074.659999999998</v>
      </c>
      <c r="D37" s="139">
        <v>6.29</v>
      </c>
      <c r="E37" s="139">
        <f>'[8]Dec 2022'!E37+'[8]Jan 2023'!D37</f>
        <v>292.83000000000004</v>
      </c>
      <c r="F37" s="139">
        <v>0</v>
      </c>
      <c r="G37" s="139">
        <f>'[8]Dec 2022'!G37+'[8]Jan 2023'!F37</f>
        <v>0</v>
      </c>
      <c r="H37" s="139">
        <f t="shared" si="0"/>
        <v>5080.949999999998</v>
      </c>
      <c r="I37" s="139">
        <f>'[8]Dec 2022'!N37</f>
        <v>26.700000000000003</v>
      </c>
      <c r="J37" s="139">
        <v>0</v>
      </c>
      <c r="K37" s="139">
        <f>'[8]Dec 2022'!K37+'[8]Jan 2023'!J37</f>
        <v>14.27</v>
      </c>
      <c r="L37" s="139">
        <v>0</v>
      </c>
      <c r="M37" s="139">
        <f>'[8]Dec 2022'!M37+'[8]Jan 2023'!L37</f>
        <v>1.06</v>
      </c>
      <c r="N37" s="139">
        <f t="shared" si="1"/>
        <v>26.700000000000003</v>
      </c>
      <c r="O37" s="139">
        <f>'[8]Dec 2022'!T37</f>
        <v>3.0599999999999996</v>
      </c>
      <c r="P37" s="139">
        <v>0</v>
      </c>
      <c r="Q37" s="139">
        <f>'[8]Dec 2022'!Q37+'[8]Jan 2023'!P37</f>
        <v>0</v>
      </c>
      <c r="R37" s="139">
        <v>0</v>
      </c>
      <c r="S37" s="139">
        <f>'[8]Dec 2022'!S37+'[8]Jan 2023'!R37</f>
        <v>3.46</v>
      </c>
      <c r="T37" s="139">
        <f t="shared" si="2"/>
        <v>3.0599999999999996</v>
      </c>
      <c r="U37" s="139">
        <f t="shared" si="3"/>
        <v>5110.7099999999982</v>
      </c>
    </row>
    <row r="38" spans="1:21" s="111" customFormat="1" ht="38.25" customHeight="1" x14ac:dyDescent="0.4">
      <c r="A38" s="313" t="s">
        <v>107</v>
      </c>
      <c r="B38" s="313"/>
      <c r="C38" s="141">
        <f>SUM(C34:C37)</f>
        <v>19878.209999999992</v>
      </c>
      <c r="D38" s="141">
        <f t="shared" ref="D38:U38" si="11">SUM(D34:D37)</f>
        <v>49.15</v>
      </c>
      <c r="E38" s="141">
        <f t="shared" si="11"/>
        <v>1049.3499999999999</v>
      </c>
      <c r="F38" s="141">
        <f t="shared" si="11"/>
        <v>0</v>
      </c>
      <c r="G38" s="141">
        <f t="shared" si="11"/>
        <v>9.89</v>
      </c>
      <c r="H38" s="141">
        <f t="shared" si="11"/>
        <v>19927.359999999997</v>
      </c>
      <c r="I38" s="141">
        <f t="shared" si="11"/>
        <v>198.47000000000003</v>
      </c>
      <c r="J38" s="141">
        <f t="shared" si="11"/>
        <v>0.69</v>
      </c>
      <c r="K38" s="141">
        <f t="shared" si="11"/>
        <v>154.76</v>
      </c>
      <c r="L38" s="141">
        <f t="shared" si="11"/>
        <v>0</v>
      </c>
      <c r="M38" s="141">
        <f t="shared" si="11"/>
        <v>5.6899999999999995</v>
      </c>
      <c r="N38" s="141">
        <f t="shared" si="11"/>
        <v>199.16000000000003</v>
      </c>
      <c r="O38" s="141">
        <f t="shared" si="11"/>
        <v>202.94</v>
      </c>
      <c r="P38" s="141">
        <f t="shared" si="11"/>
        <v>0</v>
      </c>
      <c r="Q38" s="141">
        <f t="shared" si="11"/>
        <v>124.37</v>
      </c>
      <c r="R38" s="141">
        <f t="shared" si="11"/>
        <v>0</v>
      </c>
      <c r="S38" s="141">
        <f t="shared" si="11"/>
        <v>3.46</v>
      </c>
      <c r="T38" s="141">
        <f t="shared" si="11"/>
        <v>202.94</v>
      </c>
      <c r="U38" s="141">
        <f t="shared" si="11"/>
        <v>20329.459999999995</v>
      </c>
    </row>
    <row r="39" spans="1:21" s="145" customFormat="1" ht="38.25" customHeight="1" x14ac:dyDescent="0.4">
      <c r="A39" s="313" t="s">
        <v>108</v>
      </c>
      <c r="B39" s="313"/>
      <c r="C39" s="141">
        <f>C38+C33+C28</f>
        <v>42752.165799999995</v>
      </c>
      <c r="D39" s="141">
        <f t="shared" ref="D39:U39" si="12">D38+D33+D28</f>
        <v>88.044999999999987</v>
      </c>
      <c r="E39" s="141">
        <f t="shared" si="12"/>
        <v>1558.2729999999999</v>
      </c>
      <c r="F39" s="141">
        <f t="shared" si="12"/>
        <v>0</v>
      </c>
      <c r="G39" s="141">
        <f t="shared" si="12"/>
        <v>9.89</v>
      </c>
      <c r="H39" s="141">
        <f t="shared" si="12"/>
        <v>42840.210800000001</v>
      </c>
      <c r="I39" s="141">
        <f t="shared" si="12"/>
        <v>1434.6510000000001</v>
      </c>
      <c r="J39" s="141">
        <f t="shared" si="12"/>
        <v>4.79</v>
      </c>
      <c r="K39" s="141">
        <f t="shared" si="12"/>
        <v>313.15000000000003</v>
      </c>
      <c r="L39" s="141">
        <f t="shared" si="12"/>
        <v>0</v>
      </c>
      <c r="M39" s="141">
        <f t="shared" si="12"/>
        <v>5.6899999999999995</v>
      </c>
      <c r="N39" s="141">
        <f t="shared" si="12"/>
        <v>1439.441</v>
      </c>
      <c r="O39" s="141">
        <f t="shared" si="12"/>
        <v>392.96199999999999</v>
      </c>
      <c r="P39" s="141">
        <f t="shared" si="12"/>
        <v>0.17</v>
      </c>
      <c r="Q39" s="141">
        <f t="shared" si="12"/>
        <v>124.79</v>
      </c>
      <c r="R39" s="141">
        <f t="shared" si="12"/>
        <v>0</v>
      </c>
      <c r="S39" s="141">
        <f t="shared" si="12"/>
        <v>26.66</v>
      </c>
      <c r="T39" s="141">
        <f t="shared" si="12"/>
        <v>393.13199999999995</v>
      </c>
      <c r="U39" s="141">
        <f t="shared" si="12"/>
        <v>44672.783799999997</v>
      </c>
    </row>
    <row r="40" spans="1:21" ht="38.25" customHeight="1" x14ac:dyDescent="0.35">
      <c r="A40" s="171">
        <v>25</v>
      </c>
      <c r="B40" s="231" t="s">
        <v>109</v>
      </c>
      <c r="C40" s="139">
        <f>'[8]Dec 2022'!H40</f>
        <v>11787.733999999999</v>
      </c>
      <c r="D40" s="139">
        <v>22.84</v>
      </c>
      <c r="E40" s="139">
        <f>'[8]Dec 2022'!E40+'[8]Jan 2023'!D40</f>
        <v>420.13</v>
      </c>
      <c r="F40" s="139">
        <v>0</v>
      </c>
      <c r="G40" s="139">
        <f>'[8]Dec 2022'!G40+'[8]Jan 2023'!F40</f>
        <v>0</v>
      </c>
      <c r="H40" s="139">
        <f t="shared" si="0"/>
        <v>11810.573999999999</v>
      </c>
      <c r="I40" s="139">
        <f>'[8]Dec 2022'!N40</f>
        <v>198.73</v>
      </c>
      <c r="J40" s="139">
        <v>0</v>
      </c>
      <c r="K40" s="139">
        <f>'[8]Dec 2022'!K40+'[8]Jan 2023'!J40</f>
        <v>0</v>
      </c>
      <c r="L40" s="139">
        <v>0</v>
      </c>
      <c r="M40" s="139">
        <f>'[8]Dec 2022'!M40+'[8]Jan 2023'!L40</f>
        <v>0</v>
      </c>
      <c r="N40" s="139">
        <f t="shared" si="1"/>
        <v>198.73</v>
      </c>
      <c r="O40" s="139">
        <f>'[8]Dec 2022'!T40</f>
        <v>84.65</v>
      </c>
      <c r="P40" s="139">
        <v>11.14</v>
      </c>
      <c r="Q40" s="139">
        <f>'[8]Dec 2022'!Q40+'[8]Jan 2023'!P40</f>
        <v>95.79</v>
      </c>
      <c r="R40" s="139">
        <v>0</v>
      </c>
      <c r="S40" s="139">
        <f>'[8]Dec 2022'!S40+'[8]Jan 2023'!R40</f>
        <v>0</v>
      </c>
      <c r="T40" s="139">
        <f t="shared" si="2"/>
        <v>95.79</v>
      </c>
      <c r="U40" s="139">
        <f t="shared" si="3"/>
        <v>12105.093999999999</v>
      </c>
    </row>
    <row r="41" spans="1:21" ht="38.25" customHeight="1" x14ac:dyDescent="0.35">
      <c r="A41" s="171">
        <v>26</v>
      </c>
      <c r="B41" s="231" t="s">
        <v>110</v>
      </c>
      <c r="C41" s="139">
        <f>'[8]Dec 2022'!H41</f>
        <v>8236.5389999999934</v>
      </c>
      <c r="D41" s="139">
        <v>25.79</v>
      </c>
      <c r="E41" s="139">
        <f>'[8]Dec 2022'!E41+'[8]Jan 2023'!D41</f>
        <v>764.29200000000003</v>
      </c>
      <c r="F41" s="139">
        <v>0</v>
      </c>
      <c r="G41" s="139">
        <f>'[8]Dec 2022'!G41+'[8]Jan 2023'!F41</f>
        <v>0</v>
      </c>
      <c r="H41" s="139">
        <f t="shared" si="0"/>
        <v>8262.3289999999943</v>
      </c>
      <c r="I41" s="139">
        <f>'[8]Dec 2022'!N41</f>
        <v>8.67</v>
      </c>
      <c r="J41" s="139">
        <v>0</v>
      </c>
      <c r="K41" s="139">
        <f>'[8]Dec 2022'!K41+'[8]Jan 2023'!J41</f>
        <v>0</v>
      </c>
      <c r="L41" s="139">
        <v>0</v>
      </c>
      <c r="M41" s="139">
        <f>'[8]Dec 2022'!M41+'[8]Jan 2023'!L41</f>
        <v>0</v>
      </c>
      <c r="N41" s="139">
        <f t="shared" si="1"/>
        <v>8.67</v>
      </c>
      <c r="O41" s="139">
        <f>'[8]Dec 2022'!T41</f>
        <v>113.27000000000001</v>
      </c>
      <c r="P41" s="139">
        <v>14.01</v>
      </c>
      <c r="Q41" s="139">
        <f>'[8]Dec 2022'!Q41+'[8]Jan 2023'!P41</f>
        <v>127.28000000000002</v>
      </c>
      <c r="R41" s="139">
        <v>0</v>
      </c>
      <c r="S41" s="139">
        <f>'[8]Dec 2022'!S41+'[8]Jan 2023'!R41</f>
        <v>0</v>
      </c>
      <c r="T41" s="139">
        <f t="shared" si="2"/>
        <v>127.28000000000002</v>
      </c>
      <c r="U41" s="139">
        <f t="shared" si="3"/>
        <v>8398.278999999995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f>'[8]Dec 2022'!H42</f>
        <v>13887.388999999996</v>
      </c>
      <c r="D42" s="139">
        <v>11.314</v>
      </c>
      <c r="E42" s="139">
        <f>'[8]Dec 2022'!E42+'[8]Jan 2023'!D42</f>
        <v>93.26400000000001</v>
      </c>
      <c r="F42" s="139">
        <v>0</v>
      </c>
      <c r="G42" s="139">
        <f>'[8]Dec 2022'!G42+'[8]Jan 2023'!F42</f>
        <v>0</v>
      </c>
      <c r="H42" s="139">
        <f t="shared" si="0"/>
        <v>13898.702999999996</v>
      </c>
      <c r="I42" s="139">
        <f>'[8]Dec 2022'!N42</f>
        <v>15.62</v>
      </c>
      <c r="J42" s="139">
        <v>0</v>
      </c>
      <c r="K42" s="139">
        <f>'[8]Dec 2022'!K42+'[8]Jan 2023'!J42</f>
        <v>0</v>
      </c>
      <c r="L42" s="139">
        <v>0</v>
      </c>
      <c r="M42" s="139">
        <f>'[8]Dec 2022'!M42+'[8]Jan 2023'!L42</f>
        <v>0</v>
      </c>
      <c r="N42" s="139">
        <f t="shared" si="1"/>
        <v>15.62</v>
      </c>
      <c r="O42" s="139">
        <f>'[8]Dec 2022'!T42</f>
        <v>150.29</v>
      </c>
      <c r="P42" s="139">
        <v>27.53</v>
      </c>
      <c r="Q42" s="139">
        <f>'[8]Dec 2022'!Q42+'[8]Jan 2023'!P42</f>
        <v>138.80000000000001</v>
      </c>
      <c r="R42" s="139">
        <v>0</v>
      </c>
      <c r="S42" s="139">
        <f>'[8]Dec 2022'!S42+'[8]Jan 2023'!R42</f>
        <v>0</v>
      </c>
      <c r="T42" s="139">
        <f t="shared" si="2"/>
        <v>177.82</v>
      </c>
      <c r="U42" s="139">
        <f t="shared" si="3"/>
        <v>14092.142999999996</v>
      </c>
    </row>
    <row r="43" spans="1:21" ht="38.25" customHeight="1" x14ac:dyDescent="0.35">
      <c r="A43" s="171">
        <v>28</v>
      </c>
      <c r="B43" s="231" t="s">
        <v>112</v>
      </c>
      <c r="C43" s="139">
        <f>'[8]Dec 2022'!H43</f>
        <v>4116.6200000000008</v>
      </c>
      <c r="D43" s="139">
        <v>6.72</v>
      </c>
      <c r="E43" s="139">
        <f>'[8]Dec 2022'!E43+'[8]Jan 2023'!D43</f>
        <v>155.86000000000001</v>
      </c>
      <c r="F43" s="139">
        <v>0</v>
      </c>
      <c r="G43" s="139">
        <f>'[8]Dec 2022'!G43+'[8]Jan 2023'!F43</f>
        <v>0</v>
      </c>
      <c r="H43" s="139">
        <f t="shared" si="0"/>
        <v>4123.3400000000011</v>
      </c>
      <c r="I43" s="139">
        <f>'[8]Dec 2022'!N43</f>
        <v>3.5</v>
      </c>
      <c r="J43" s="139">
        <v>0</v>
      </c>
      <c r="K43" s="139">
        <f>'[8]Dec 2022'!K43+'[8]Jan 2023'!J43</f>
        <v>0</v>
      </c>
      <c r="L43" s="139">
        <v>0</v>
      </c>
      <c r="M43" s="139">
        <f>'[8]Dec 2022'!M43+'[8]Jan 2023'!L43</f>
        <v>0</v>
      </c>
      <c r="N43" s="139">
        <f t="shared" si="1"/>
        <v>3.5</v>
      </c>
      <c r="O43" s="139">
        <f>'[8]Dec 2022'!T43</f>
        <v>29.8</v>
      </c>
      <c r="P43" s="139">
        <v>0</v>
      </c>
      <c r="Q43" s="139">
        <f>'[8]Dec 2022'!Q43+'[8]Jan 2023'!P43</f>
        <v>29.8</v>
      </c>
      <c r="R43" s="139">
        <v>0</v>
      </c>
      <c r="S43" s="139">
        <f>'[8]Dec 2022'!S43+'[8]Jan 2023'!R43</f>
        <v>0</v>
      </c>
      <c r="T43" s="139">
        <f t="shared" si="2"/>
        <v>29.8</v>
      </c>
      <c r="U43" s="139">
        <f t="shared" si="3"/>
        <v>4156.6400000000012</v>
      </c>
    </row>
    <row r="44" spans="1:21" s="111" customFormat="1" ht="38.25" customHeight="1" x14ac:dyDescent="0.4">
      <c r="A44" s="313" t="s">
        <v>109</v>
      </c>
      <c r="B44" s="313"/>
      <c r="C44" s="141">
        <f>SUM(C40:C43)</f>
        <v>38028.281999999992</v>
      </c>
      <c r="D44" s="141">
        <f t="shared" ref="D44:U44" si="13">SUM(D40:D43)</f>
        <v>66.664000000000001</v>
      </c>
      <c r="E44" s="141">
        <f t="shared" si="13"/>
        <v>1433.5460000000003</v>
      </c>
      <c r="F44" s="141">
        <f t="shared" si="13"/>
        <v>0</v>
      </c>
      <c r="G44" s="141">
        <f t="shared" si="13"/>
        <v>0</v>
      </c>
      <c r="H44" s="141">
        <f t="shared" si="13"/>
        <v>38094.945999999989</v>
      </c>
      <c r="I44" s="141">
        <f t="shared" si="13"/>
        <v>226.51999999999998</v>
      </c>
      <c r="J44" s="141">
        <f t="shared" si="13"/>
        <v>0</v>
      </c>
      <c r="K44" s="141">
        <f t="shared" si="13"/>
        <v>0</v>
      </c>
      <c r="L44" s="141">
        <f t="shared" si="13"/>
        <v>0</v>
      </c>
      <c r="M44" s="141">
        <f t="shared" si="13"/>
        <v>0</v>
      </c>
      <c r="N44" s="141">
        <f t="shared" si="13"/>
        <v>226.51999999999998</v>
      </c>
      <c r="O44" s="141">
        <f t="shared" si="13"/>
        <v>378.01000000000005</v>
      </c>
      <c r="P44" s="141">
        <f t="shared" si="13"/>
        <v>52.68</v>
      </c>
      <c r="Q44" s="141">
        <f t="shared" si="13"/>
        <v>391.67</v>
      </c>
      <c r="R44" s="141">
        <f t="shared" si="13"/>
        <v>0</v>
      </c>
      <c r="S44" s="141">
        <f t="shared" si="13"/>
        <v>0</v>
      </c>
      <c r="T44" s="141">
        <f t="shared" si="13"/>
        <v>430.69</v>
      </c>
      <c r="U44" s="141">
        <f t="shared" si="13"/>
        <v>38752.155999999988</v>
      </c>
    </row>
    <row r="45" spans="1:21" ht="38.25" customHeight="1" x14ac:dyDescent="0.35">
      <c r="A45" s="171">
        <v>29</v>
      </c>
      <c r="B45" s="231" t="s">
        <v>113</v>
      </c>
      <c r="C45" s="139">
        <f>'[8]Dec 2022'!H45</f>
        <v>8268.5421000000006</v>
      </c>
      <c r="D45" s="139">
        <v>59.67</v>
      </c>
      <c r="E45" s="139">
        <f>'[8]Dec 2022'!E45+'[8]Jan 2023'!D45</f>
        <v>276.23</v>
      </c>
      <c r="F45" s="139">
        <v>0</v>
      </c>
      <c r="G45" s="139">
        <f>'[8]Dec 2022'!G45+'[8]Jan 2023'!F45</f>
        <v>0</v>
      </c>
      <c r="H45" s="139">
        <f t="shared" si="0"/>
        <v>8328.2121000000006</v>
      </c>
      <c r="I45" s="139">
        <f>'[8]Dec 2022'!N45</f>
        <v>260.90999999999997</v>
      </c>
      <c r="J45" s="139">
        <v>0.06</v>
      </c>
      <c r="K45" s="139">
        <f>'[8]Dec 2022'!K45+'[8]Jan 2023'!J45</f>
        <v>219.04999999999998</v>
      </c>
      <c r="L45" s="139">
        <v>0</v>
      </c>
      <c r="M45" s="139">
        <f>'[8]Dec 2022'!M45+'[8]Jan 2023'!L45</f>
        <v>0</v>
      </c>
      <c r="N45" s="139">
        <f t="shared" si="1"/>
        <v>260.96999999999997</v>
      </c>
      <c r="O45" s="139">
        <f>'[8]Dec 2022'!T45</f>
        <v>84.27</v>
      </c>
      <c r="P45" s="139">
        <v>0</v>
      </c>
      <c r="Q45" s="139">
        <f>'[8]Dec 2022'!Q45+'[8]Jan 2023'!P45</f>
        <v>69.52</v>
      </c>
      <c r="R45" s="139">
        <v>0</v>
      </c>
      <c r="S45" s="139">
        <f>'[8]Dec 2022'!S45+'[8]Jan 2023'!R45</f>
        <v>0</v>
      </c>
      <c r="T45" s="139">
        <f t="shared" si="2"/>
        <v>84.27</v>
      </c>
      <c r="U45" s="139">
        <f t="shared" si="3"/>
        <v>8673.4521000000004</v>
      </c>
    </row>
    <row r="46" spans="1:21" ht="38.25" customHeight="1" x14ac:dyDescent="0.35">
      <c r="A46" s="171">
        <v>30</v>
      </c>
      <c r="B46" s="231" t="s">
        <v>114</v>
      </c>
      <c r="C46" s="139">
        <f>'[8]Dec 2022'!H46</f>
        <v>7824.7650000000021</v>
      </c>
      <c r="D46" s="139">
        <v>19.04</v>
      </c>
      <c r="E46" s="139">
        <f>'[8]Dec 2022'!E46+'[8]Jan 2023'!D46</f>
        <v>105.31</v>
      </c>
      <c r="F46" s="139">
        <v>0</v>
      </c>
      <c r="G46" s="139">
        <f>'[8]Dec 2022'!G46+'[8]Jan 2023'!F46</f>
        <v>0</v>
      </c>
      <c r="H46" s="139">
        <f t="shared" si="0"/>
        <v>7843.8050000000021</v>
      </c>
      <c r="I46" s="139">
        <f>'[8]Dec 2022'!N46</f>
        <v>0</v>
      </c>
      <c r="J46" s="139">
        <v>0</v>
      </c>
      <c r="K46" s="139">
        <f>'[8]Dec 2022'!K46+'[8]Jan 2023'!J46</f>
        <v>0</v>
      </c>
      <c r="L46" s="139">
        <v>0</v>
      </c>
      <c r="M46" s="139">
        <f>'[8]Dec 2022'!M46+'[8]Jan 2023'!L46</f>
        <v>0</v>
      </c>
      <c r="N46" s="139">
        <f t="shared" si="1"/>
        <v>0</v>
      </c>
      <c r="O46" s="139">
        <f>'[8]Dec 2022'!T46</f>
        <v>47.03</v>
      </c>
      <c r="P46" s="139">
        <v>0</v>
      </c>
      <c r="Q46" s="139">
        <f>'[8]Dec 2022'!Q46+'[8]Jan 2023'!P46</f>
        <v>47.03</v>
      </c>
      <c r="R46" s="139">
        <v>0</v>
      </c>
      <c r="S46" s="139">
        <f>'[8]Dec 2022'!S46+'[8]Jan 2023'!R46</f>
        <v>0</v>
      </c>
      <c r="T46" s="139">
        <f t="shared" si="2"/>
        <v>47.03</v>
      </c>
      <c r="U46" s="139">
        <f t="shared" si="3"/>
        <v>7890.8350000000019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f>'[8]Dec 2022'!H47</f>
        <v>8939.5699999999979</v>
      </c>
      <c r="D47" s="139">
        <v>91.55</v>
      </c>
      <c r="E47" s="139">
        <f>'[8]Dec 2022'!E47+'[8]Jan 2023'!D47</f>
        <v>246.48000000000002</v>
      </c>
      <c r="F47" s="139">
        <v>0</v>
      </c>
      <c r="G47" s="139">
        <f>'[8]Dec 2022'!G47+'[8]Jan 2023'!F47</f>
        <v>0</v>
      </c>
      <c r="H47" s="139">
        <f t="shared" si="0"/>
        <v>9031.1199999999972</v>
      </c>
      <c r="I47" s="139">
        <f>'[8]Dec 2022'!N47</f>
        <v>3.13</v>
      </c>
      <c r="J47" s="139">
        <v>0</v>
      </c>
      <c r="K47" s="139">
        <f>'[8]Dec 2022'!K47+'[8]Jan 2023'!J47</f>
        <v>0</v>
      </c>
      <c r="L47" s="139">
        <v>0</v>
      </c>
      <c r="M47" s="139">
        <f>'[8]Dec 2022'!M47+'[8]Jan 2023'!L47</f>
        <v>0</v>
      </c>
      <c r="N47" s="139">
        <f t="shared" si="1"/>
        <v>3.13</v>
      </c>
      <c r="O47" s="139">
        <f>'[8]Dec 2022'!T47</f>
        <v>118.94999999999999</v>
      </c>
      <c r="P47" s="139">
        <v>0</v>
      </c>
      <c r="Q47" s="139">
        <f>'[8]Dec 2022'!Q47+'[8]Jan 2023'!P47</f>
        <v>118.91999999999999</v>
      </c>
      <c r="R47" s="139">
        <v>0</v>
      </c>
      <c r="S47" s="139">
        <f>'[8]Dec 2022'!S47+'[8]Jan 2023'!R47</f>
        <v>0</v>
      </c>
      <c r="T47" s="139">
        <f t="shared" si="2"/>
        <v>118.94999999999999</v>
      </c>
      <c r="U47" s="139">
        <f t="shared" si="3"/>
        <v>9153.1999999999971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f>'[8]Dec 2022'!H48</f>
        <v>8589.3589999999986</v>
      </c>
      <c r="D48" s="139">
        <v>7.14</v>
      </c>
      <c r="E48" s="139">
        <f>'[8]Dec 2022'!E48+'[8]Jan 2023'!D48</f>
        <v>399.71</v>
      </c>
      <c r="F48" s="139">
        <v>0</v>
      </c>
      <c r="G48" s="139">
        <f>'[8]Dec 2022'!G48+'[8]Jan 2023'!F48</f>
        <v>0</v>
      </c>
      <c r="H48" s="139">
        <f t="shared" si="0"/>
        <v>8596.498999999998</v>
      </c>
      <c r="I48" s="139">
        <f>'[8]Dec 2022'!N48</f>
        <v>5.0249999999999995</v>
      </c>
      <c r="J48" s="139">
        <v>0</v>
      </c>
      <c r="K48" s="139">
        <f>'[8]Dec 2022'!K48+'[8]Jan 2023'!J48</f>
        <v>0</v>
      </c>
      <c r="L48" s="139">
        <v>0</v>
      </c>
      <c r="M48" s="139">
        <f>'[8]Dec 2022'!M48+'[8]Jan 2023'!L48</f>
        <v>0</v>
      </c>
      <c r="N48" s="139">
        <f t="shared" si="1"/>
        <v>5.0249999999999995</v>
      </c>
      <c r="O48" s="139">
        <f>'[8]Dec 2022'!T48</f>
        <v>4.21</v>
      </c>
      <c r="P48" s="139">
        <v>0</v>
      </c>
      <c r="Q48" s="139">
        <f>'[8]Dec 2022'!Q48+'[8]Jan 2023'!P48</f>
        <v>4.21</v>
      </c>
      <c r="R48" s="139">
        <v>0</v>
      </c>
      <c r="S48" s="139">
        <f>'[8]Dec 2022'!S48+'[8]Jan 2023'!R48</f>
        <v>0</v>
      </c>
      <c r="T48" s="139">
        <f t="shared" si="2"/>
        <v>4.21</v>
      </c>
      <c r="U48" s="139">
        <f t="shared" si="3"/>
        <v>8605.7339999999967</v>
      </c>
    </row>
    <row r="49" spans="1:21" s="111" customFormat="1" ht="38.25" customHeight="1" x14ac:dyDescent="0.4">
      <c r="A49" s="313" t="s">
        <v>117</v>
      </c>
      <c r="B49" s="313"/>
      <c r="C49" s="141">
        <f>SUM(C45:C48)</f>
        <v>33622.236099999995</v>
      </c>
      <c r="D49" s="141">
        <f t="shared" ref="D49:U49" si="14">SUM(D45:D48)</f>
        <v>177.39999999999998</v>
      </c>
      <c r="E49" s="141">
        <f t="shared" si="14"/>
        <v>1027.73</v>
      </c>
      <c r="F49" s="141">
        <f t="shared" si="14"/>
        <v>0</v>
      </c>
      <c r="G49" s="141">
        <f t="shared" si="14"/>
        <v>0</v>
      </c>
      <c r="H49" s="141">
        <f t="shared" si="14"/>
        <v>33799.636099999996</v>
      </c>
      <c r="I49" s="141">
        <f t="shared" si="14"/>
        <v>269.06499999999994</v>
      </c>
      <c r="J49" s="141">
        <f t="shared" si="14"/>
        <v>0.06</v>
      </c>
      <c r="K49" s="141">
        <f t="shared" si="14"/>
        <v>219.04999999999998</v>
      </c>
      <c r="L49" s="141">
        <f t="shared" si="14"/>
        <v>0</v>
      </c>
      <c r="M49" s="141">
        <f t="shared" si="14"/>
        <v>0</v>
      </c>
      <c r="N49" s="141">
        <f t="shared" si="14"/>
        <v>269.12499999999994</v>
      </c>
      <c r="O49" s="141">
        <f t="shared" si="14"/>
        <v>254.46</v>
      </c>
      <c r="P49" s="141">
        <f t="shared" si="14"/>
        <v>0</v>
      </c>
      <c r="Q49" s="141">
        <f t="shared" si="14"/>
        <v>239.67999999999998</v>
      </c>
      <c r="R49" s="141">
        <f t="shared" si="14"/>
        <v>0</v>
      </c>
      <c r="S49" s="141">
        <f t="shared" si="14"/>
        <v>0</v>
      </c>
      <c r="T49" s="141">
        <f t="shared" si="14"/>
        <v>254.46</v>
      </c>
      <c r="U49" s="141">
        <f t="shared" si="14"/>
        <v>34323.221099999995</v>
      </c>
    </row>
    <row r="50" spans="1:21" s="145" customFormat="1" ht="38.25" customHeight="1" x14ac:dyDescent="0.4">
      <c r="A50" s="313" t="s">
        <v>118</v>
      </c>
      <c r="B50" s="313"/>
      <c r="C50" s="141">
        <f>C49+C44</f>
        <v>71650.518099999987</v>
      </c>
      <c r="D50" s="141">
        <f t="shared" ref="D50:U50" si="15">D49+D44</f>
        <v>244.06399999999996</v>
      </c>
      <c r="E50" s="141">
        <f t="shared" si="15"/>
        <v>2461.2760000000003</v>
      </c>
      <c r="F50" s="141">
        <f t="shared" si="15"/>
        <v>0</v>
      </c>
      <c r="G50" s="141">
        <f t="shared" si="15"/>
        <v>0</v>
      </c>
      <c r="H50" s="141">
        <f t="shared" si="15"/>
        <v>71894.582099999985</v>
      </c>
      <c r="I50" s="141">
        <f t="shared" si="15"/>
        <v>495.58499999999992</v>
      </c>
      <c r="J50" s="141">
        <f t="shared" si="15"/>
        <v>0.06</v>
      </c>
      <c r="K50" s="141">
        <f t="shared" si="15"/>
        <v>219.04999999999998</v>
      </c>
      <c r="L50" s="141">
        <f t="shared" si="15"/>
        <v>0</v>
      </c>
      <c r="M50" s="141">
        <f t="shared" si="15"/>
        <v>0</v>
      </c>
      <c r="N50" s="141">
        <f t="shared" si="15"/>
        <v>495.64499999999992</v>
      </c>
      <c r="O50" s="141">
        <f t="shared" si="15"/>
        <v>632.47</v>
      </c>
      <c r="P50" s="141">
        <f t="shared" si="15"/>
        <v>52.68</v>
      </c>
      <c r="Q50" s="141">
        <f t="shared" si="15"/>
        <v>631.35</v>
      </c>
      <c r="R50" s="141">
        <f t="shared" si="15"/>
        <v>0</v>
      </c>
      <c r="S50" s="141">
        <f t="shared" si="15"/>
        <v>0</v>
      </c>
      <c r="T50" s="141">
        <f t="shared" si="15"/>
        <v>685.15</v>
      </c>
      <c r="U50" s="141">
        <f t="shared" si="15"/>
        <v>73075.377099999983</v>
      </c>
    </row>
    <row r="51" spans="1:21" s="146" customFormat="1" ht="38.25" customHeight="1" x14ac:dyDescent="0.4">
      <c r="A51" s="313" t="s">
        <v>119</v>
      </c>
      <c r="B51" s="313"/>
      <c r="C51" s="141">
        <f>C50+C39+C25</f>
        <v>118557.88989999998</v>
      </c>
      <c r="D51" s="141">
        <f t="shared" ref="D51:U51" si="16">D50+D39+D25</f>
        <v>332.5089999999999</v>
      </c>
      <c r="E51" s="141">
        <f t="shared" si="16"/>
        <v>4032.1689999999999</v>
      </c>
      <c r="F51" s="141">
        <f t="shared" si="16"/>
        <v>72.709999999999994</v>
      </c>
      <c r="G51" s="141">
        <f t="shared" si="16"/>
        <v>626.97</v>
      </c>
      <c r="H51" s="141">
        <f t="shared" si="16"/>
        <v>118817.68889999998</v>
      </c>
      <c r="I51" s="141">
        <f t="shared" si="16"/>
        <v>10445.698</v>
      </c>
      <c r="J51" s="141">
        <f t="shared" si="16"/>
        <v>207.32999999999998</v>
      </c>
      <c r="K51" s="141">
        <f t="shared" si="16"/>
        <v>2230.1840000000002</v>
      </c>
      <c r="L51" s="141">
        <f t="shared" si="16"/>
        <v>0</v>
      </c>
      <c r="M51" s="141">
        <f t="shared" si="16"/>
        <v>7.85</v>
      </c>
      <c r="N51" s="141">
        <f t="shared" si="16"/>
        <v>10653.027999999998</v>
      </c>
      <c r="O51" s="141">
        <f t="shared" si="16"/>
        <v>1594.56</v>
      </c>
      <c r="P51" s="141">
        <f t="shared" si="16"/>
        <v>54.99</v>
      </c>
      <c r="Q51" s="141">
        <f t="shared" si="16"/>
        <v>760.64</v>
      </c>
      <c r="R51" s="141">
        <f t="shared" si="16"/>
        <v>4.3899999999999997</v>
      </c>
      <c r="S51" s="141">
        <f t="shared" si="16"/>
        <v>56.960000000000008</v>
      </c>
      <c r="T51" s="141">
        <f t="shared" si="16"/>
        <v>1645.1599999999999</v>
      </c>
      <c r="U51" s="141">
        <f t="shared" si="16"/>
        <v>131115.87689999997</v>
      </c>
    </row>
    <row r="52" spans="1:21" s="115" customFormat="1" ht="24.75" hidden="1" customHeight="1" x14ac:dyDescent="0.4">
      <c r="B52" s="262"/>
      <c r="C52" s="278" t="s">
        <v>54</v>
      </c>
      <c r="D52" s="278"/>
      <c r="E52" s="278"/>
      <c r="F52" s="278"/>
      <c r="G52" s="278"/>
      <c r="H52" s="118"/>
      <c r="I52" s="262"/>
      <c r="J52" s="262">
        <f>D51+J51+P51-F51-L51-R51</f>
        <v>517.72899999999993</v>
      </c>
      <c r="K52" s="262"/>
      <c r="L52" s="262"/>
      <c r="M52" s="262"/>
      <c r="N52" s="262"/>
      <c r="R52" s="262"/>
      <c r="U52" s="262"/>
    </row>
    <row r="53" spans="1:21" s="115" customFormat="1" ht="30" hidden="1" customHeight="1" x14ac:dyDescent="0.35">
      <c r="B53" s="262"/>
      <c r="C53" s="278" t="s">
        <v>55</v>
      </c>
      <c r="D53" s="278"/>
      <c r="E53" s="278"/>
      <c r="F53" s="278"/>
      <c r="G53" s="278"/>
      <c r="H53" s="119"/>
      <c r="I53" s="262"/>
      <c r="J53" s="262">
        <f>E51+K51+Q51-G51-M51-S51</f>
        <v>6331.2129999999997</v>
      </c>
      <c r="K53" s="262"/>
      <c r="L53" s="262"/>
      <c r="M53" s="262"/>
      <c r="N53" s="262"/>
      <c r="R53" s="262"/>
      <c r="T53" s="262"/>
    </row>
    <row r="54" spans="1:21" ht="33" hidden="1" customHeight="1" x14ac:dyDescent="0.5">
      <c r="C54" s="278" t="s">
        <v>56</v>
      </c>
      <c r="D54" s="278"/>
      <c r="E54" s="278"/>
      <c r="F54" s="278"/>
      <c r="G54" s="278"/>
      <c r="H54" s="119"/>
      <c r="I54" s="121"/>
      <c r="J54" s="262">
        <f>H51+N51+T51</f>
        <v>131115.87689999997</v>
      </c>
      <c r="K54" s="119"/>
      <c r="L54" s="119"/>
      <c r="M54" s="142" t="e">
        <f>#REF!+'dec-2021'!J54</f>
        <v>#REF!</v>
      </c>
      <c r="N54" s="119"/>
      <c r="P54" s="115"/>
      <c r="Q54" s="122"/>
      <c r="U54" s="122"/>
    </row>
    <row r="55" spans="1:21" ht="33" hidden="1" customHeight="1" x14ac:dyDescent="0.5">
      <c r="C55" s="120"/>
      <c r="D55" s="262"/>
      <c r="E55" s="262"/>
      <c r="F55" s="262"/>
      <c r="G55" s="262"/>
      <c r="H55" s="119"/>
      <c r="I55" s="121"/>
      <c r="J55" s="262"/>
      <c r="K55" s="119"/>
      <c r="L55" s="119"/>
      <c r="M55" s="143"/>
      <c r="N55" s="119"/>
      <c r="P55" s="115"/>
      <c r="Q55" s="122"/>
      <c r="U55" s="122"/>
    </row>
    <row r="56" spans="1:21" ht="33" hidden="1" customHeight="1" x14ac:dyDescent="0.5">
      <c r="C56" s="120"/>
      <c r="D56" s="262"/>
      <c r="E56" s="262"/>
      <c r="F56" s="262"/>
      <c r="G56" s="262"/>
      <c r="H56" s="119"/>
      <c r="I56" s="121"/>
      <c r="J56" s="262"/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s="152" customFormat="1" ht="37.5" hidden="1" customHeight="1" x14ac:dyDescent="0.45">
      <c r="B57" s="287" t="s">
        <v>57</v>
      </c>
      <c r="C57" s="287"/>
      <c r="D57" s="287"/>
      <c r="E57" s="287"/>
      <c r="F57" s="287"/>
      <c r="G57" s="153"/>
      <c r="H57" s="154"/>
      <c r="I57" s="155"/>
      <c r="J57" s="288"/>
      <c r="K57" s="286"/>
      <c r="L57" s="286"/>
      <c r="M57" s="169" t="e">
        <f>#REF!+'dec-2021'!J54</f>
        <v>#REF!</v>
      </c>
      <c r="N57" s="154"/>
      <c r="O57" s="154"/>
      <c r="P57" s="263"/>
      <c r="Q57" s="287" t="s">
        <v>58</v>
      </c>
      <c r="R57" s="287"/>
      <c r="S57" s="287"/>
      <c r="T57" s="287"/>
      <c r="U57" s="287"/>
    </row>
    <row r="58" spans="1:21" s="152" customFormat="1" ht="37.5" hidden="1" customHeight="1" x14ac:dyDescent="0.45">
      <c r="B58" s="287" t="s">
        <v>59</v>
      </c>
      <c r="C58" s="287"/>
      <c r="D58" s="287"/>
      <c r="E58" s="287"/>
      <c r="F58" s="287"/>
      <c r="G58" s="154"/>
      <c r="H58" s="153"/>
      <c r="I58" s="156"/>
      <c r="J58" s="157"/>
      <c r="K58" s="264"/>
      <c r="L58" s="157"/>
      <c r="M58" s="154"/>
      <c r="N58" s="153"/>
      <c r="O58" s="154"/>
      <c r="P58" s="263"/>
      <c r="Q58" s="287" t="s">
        <v>59</v>
      </c>
      <c r="R58" s="287"/>
      <c r="S58" s="287"/>
      <c r="T58" s="287"/>
      <c r="U58" s="287"/>
    </row>
    <row r="59" spans="1:21" s="152" customFormat="1" ht="37.5" hidden="1" customHeight="1" x14ac:dyDescent="0.45">
      <c r="I59" s="158"/>
      <c r="J59" s="286" t="s">
        <v>61</v>
      </c>
      <c r="K59" s="286"/>
      <c r="L59" s="286"/>
      <c r="M59" s="159" t="e">
        <f>#REF!+'dec-2021'!J54</f>
        <v>#REF!</v>
      </c>
      <c r="P59" s="160"/>
      <c r="Q59" s="160"/>
      <c r="R59" s="160"/>
      <c r="S59" s="161"/>
      <c r="T59" s="160"/>
      <c r="U59" s="160"/>
    </row>
    <row r="60" spans="1:21" s="152" customFormat="1" ht="37.5" hidden="1" customHeight="1" x14ac:dyDescent="0.45">
      <c r="G60" s="162"/>
      <c r="H60" s="159" t="e">
        <f>#REF!+'dec-2021'!J54</f>
        <v>#REF!</v>
      </c>
      <c r="I60" s="158"/>
      <c r="J60" s="286" t="s">
        <v>62</v>
      </c>
      <c r="K60" s="286"/>
      <c r="L60" s="286"/>
      <c r="M60" s="159" t="e">
        <f>#REF!+'dec-2021'!J54</f>
        <v>#REF!</v>
      </c>
      <c r="P60" s="160"/>
      <c r="Q60" s="160"/>
      <c r="R60" s="160"/>
      <c r="S60" s="161"/>
      <c r="T60" s="160"/>
      <c r="U60" s="160"/>
    </row>
    <row r="61" spans="1:21" hidden="1" x14ac:dyDescent="0.35"/>
    <row r="62" spans="1:21" hidden="1" x14ac:dyDescent="0.35">
      <c r="H62" s="130"/>
      <c r="I62" s="131"/>
      <c r="J62" s="130"/>
    </row>
    <row r="63" spans="1:21" hidden="1" x14ac:dyDescent="0.35">
      <c r="H63" s="130"/>
      <c r="I63" s="131"/>
      <c r="J63" s="130"/>
    </row>
    <row r="64" spans="1:21" ht="18" customHeight="1" x14ac:dyDescent="0.35">
      <c r="H64" s="130"/>
      <c r="I64" s="131"/>
      <c r="J64" s="130"/>
    </row>
  </sheetData>
  <mergeCells count="44">
    <mergeCell ref="J59:L59"/>
    <mergeCell ref="J60:L60"/>
    <mergeCell ref="C52:G52"/>
    <mergeCell ref="C53:G53"/>
    <mergeCell ref="C54:G54"/>
    <mergeCell ref="B57:F57"/>
    <mergeCell ref="J57:L57"/>
    <mergeCell ref="A11:B11"/>
    <mergeCell ref="F5:G5"/>
    <mergeCell ref="H5:H6"/>
    <mergeCell ref="B58:F58"/>
    <mergeCell ref="Q58:U58"/>
    <mergeCell ref="Q57:U57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scale="15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view="pageBreakPreview" zoomScale="40" zoomScaleNormal="55" zoomScaleSheetLayoutView="40" workbookViewId="0">
      <selection activeCell="K16" sqref="K16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3" width="25.42578125" style="107" customWidth="1"/>
    <col min="14" max="14" width="28.7109375" style="107" customWidth="1"/>
    <col min="15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157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53" t="s">
        <v>122</v>
      </c>
      <c r="B4" s="355" t="s">
        <v>121</v>
      </c>
      <c r="C4" s="358" t="s">
        <v>131</v>
      </c>
      <c r="D4" s="359"/>
      <c r="E4" s="359"/>
      <c r="F4" s="359"/>
      <c r="G4" s="359"/>
      <c r="H4" s="359"/>
      <c r="I4" s="358" t="s">
        <v>146</v>
      </c>
      <c r="J4" s="359"/>
      <c r="K4" s="359"/>
      <c r="L4" s="359"/>
      <c r="M4" s="359"/>
      <c r="N4" s="359"/>
      <c r="O4" s="358" t="s">
        <v>147</v>
      </c>
      <c r="P4" s="359"/>
      <c r="Q4" s="359"/>
      <c r="R4" s="359"/>
      <c r="S4" s="359"/>
      <c r="T4" s="359"/>
      <c r="U4" s="266"/>
    </row>
    <row r="5" spans="1:21" s="108" customFormat="1" ht="54.75" customHeight="1" x14ac:dyDescent="0.25">
      <c r="A5" s="354"/>
      <c r="B5" s="356"/>
      <c r="C5" s="349" t="s">
        <v>6</v>
      </c>
      <c r="D5" s="351" t="s">
        <v>127</v>
      </c>
      <c r="E5" s="352"/>
      <c r="F5" s="351" t="s">
        <v>126</v>
      </c>
      <c r="G5" s="352"/>
      <c r="H5" s="349" t="s">
        <v>9</v>
      </c>
      <c r="I5" s="349" t="s">
        <v>6</v>
      </c>
      <c r="J5" s="351" t="s">
        <v>127</v>
      </c>
      <c r="K5" s="352"/>
      <c r="L5" s="351" t="s">
        <v>126</v>
      </c>
      <c r="M5" s="352"/>
      <c r="N5" s="349" t="s">
        <v>9</v>
      </c>
      <c r="O5" s="349" t="s">
        <v>6</v>
      </c>
      <c r="P5" s="351" t="s">
        <v>127</v>
      </c>
      <c r="Q5" s="352"/>
      <c r="R5" s="351" t="s">
        <v>126</v>
      </c>
      <c r="S5" s="352"/>
      <c r="T5" s="349" t="s">
        <v>9</v>
      </c>
      <c r="U5" s="355" t="s">
        <v>128</v>
      </c>
    </row>
    <row r="6" spans="1:21" s="108" customFormat="1" ht="38.25" customHeight="1" x14ac:dyDescent="0.25">
      <c r="A6" s="354"/>
      <c r="B6" s="357"/>
      <c r="C6" s="350"/>
      <c r="D6" s="231" t="s">
        <v>124</v>
      </c>
      <c r="E6" s="231" t="s">
        <v>125</v>
      </c>
      <c r="F6" s="231" t="s">
        <v>124</v>
      </c>
      <c r="G6" s="231" t="s">
        <v>125</v>
      </c>
      <c r="H6" s="350"/>
      <c r="I6" s="350"/>
      <c r="J6" s="231" t="s">
        <v>124</v>
      </c>
      <c r="K6" s="231" t="s">
        <v>125</v>
      </c>
      <c r="L6" s="231" t="s">
        <v>124</v>
      </c>
      <c r="M6" s="231" t="s">
        <v>125</v>
      </c>
      <c r="N6" s="350"/>
      <c r="O6" s="350"/>
      <c r="P6" s="231" t="s">
        <v>124</v>
      </c>
      <c r="Q6" s="231" t="s">
        <v>125</v>
      </c>
      <c r="R6" s="231" t="s">
        <v>124</v>
      </c>
      <c r="S6" s="231" t="s">
        <v>125</v>
      </c>
      <c r="T6" s="350"/>
      <c r="U6" s="357"/>
    </row>
    <row r="7" spans="1:21" ht="38.25" customHeight="1" x14ac:dyDescent="0.35">
      <c r="A7" s="230">
        <v>1</v>
      </c>
      <c r="B7" s="231" t="s">
        <v>78</v>
      </c>
      <c r="C7" s="139">
        <v>7.179999999999982</v>
      </c>
      <c r="D7" s="139">
        <v>0</v>
      </c>
      <c r="E7" s="139">
        <v>0</v>
      </c>
      <c r="F7" s="139">
        <v>0</v>
      </c>
      <c r="G7" s="139">
        <v>82.86</v>
      </c>
      <c r="H7" s="139">
        <v>7.179999999999982</v>
      </c>
      <c r="I7" s="139">
        <v>696.89599999999973</v>
      </c>
      <c r="J7" s="139">
        <v>3.3259999999999996</v>
      </c>
      <c r="K7" s="139">
        <v>116.00499999999998</v>
      </c>
      <c r="L7" s="139">
        <v>0</v>
      </c>
      <c r="M7" s="139">
        <v>0</v>
      </c>
      <c r="N7" s="139">
        <v>700.22199999999975</v>
      </c>
      <c r="O7" s="139">
        <v>8.436000000000007</v>
      </c>
      <c r="P7" s="139">
        <v>0</v>
      </c>
      <c r="Q7" s="139">
        <v>0</v>
      </c>
      <c r="R7" s="139">
        <v>0</v>
      </c>
      <c r="S7" s="139">
        <v>1.01</v>
      </c>
      <c r="T7" s="139">
        <v>8.436000000000007</v>
      </c>
      <c r="U7" s="139">
        <v>715.83799999999974</v>
      </c>
    </row>
    <row r="8" spans="1:21" ht="38.25" customHeight="1" x14ac:dyDescent="0.35">
      <c r="A8" s="230">
        <v>2</v>
      </c>
      <c r="B8" s="231" t="s">
        <v>79</v>
      </c>
      <c r="C8" s="139">
        <v>265.41999999999996</v>
      </c>
      <c r="D8" s="139">
        <v>0.03</v>
      </c>
      <c r="E8" s="139">
        <v>0.06</v>
      </c>
      <c r="F8" s="139">
        <v>0</v>
      </c>
      <c r="G8" s="139">
        <v>0</v>
      </c>
      <c r="H8" s="139">
        <v>265.44999999999993</v>
      </c>
      <c r="I8" s="139">
        <v>386.3060000000001</v>
      </c>
      <c r="J8" s="139">
        <v>3.9649999999999999</v>
      </c>
      <c r="K8" s="139">
        <v>78.290999999999997</v>
      </c>
      <c r="L8" s="139">
        <v>0</v>
      </c>
      <c r="M8" s="139">
        <v>0</v>
      </c>
      <c r="N8" s="139">
        <v>390.27100000000007</v>
      </c>
      <c r="O8" s="139">
        <v>66.290000000000006</v>
      </c>
      <c r="P8" s="139">
        <v>0</v>
      </c>
      <c r="Q8" s="139">
        <v>0</v>
      </c>
      <c r="R8" s="139">
        <v>0</v>
      </c>
      <c r="S8" s="139">
        <v>0</v>
      </c>
      <c r="T8" s="139">
        <v>66.290000000000006</v>
      </c>
      <c r="U8" s="139">
        <v>722.01099999999997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888.34800000000007</v>
      </c>
      <c r="J9" s="139">
        <v>11.54</v>
      </c>
      <c r="K9" s="139">
        <v>143.33999999999997</v>
      </c>
      <c r="L9" s="139">
        <v>0</v>
      </c>
      <c r="M9" s="139">
        <v>0</v>
      </c>
      <c r="N9" s="139">
        <v>899.88800000000003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1153.788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353.0739999999999</v>
      </c>
      <c r="J10" s="139">
        <v>9.2690000000000001</v>
      </c>
      <c r="K10" s="139">
        <v>19.968000000000004</v>
      </c>
      <c r="L10" s="139">
        <v>0</v>
      </c>
      <c r="M10" s="139">
        <v>0</v>
      </c>
      <c r="N10" s="139">
        <v>362.3429999999999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362.54299999999989</v>
      </c>
    </row>
    <row r="11" spans="1:21" s="111" customFormat="1" ht="38.25" customHeight="1" x14ac:dyDescent="0.4">
      <c r="A11" s="308" t="s">
        <v>82</v>
      </c>
      <c r="B11" s="309"/>
      <c r="C11" s="141">
        <v>481.76</v>
      </c>
      <c r="D11" s="141">
        <v>0.03</v>
      </c>
      <c r="E11" s="141">
        <v>0.06</v>
      </c>
      <c r="F11" s="141">
        <v>0</v>
      </c>
      <c r="G11" s="141">
        <v>82.86</v>
      </c>
      <c r="H11" s="141">
        <v>481.78999999999996</v>
      </c>
      <c r="I11" s="141">
        <v>2324.6239999999998</v>
      </c>
      <c r="J11" s="141">
        <v>28.1</v>
      </c>
      <c r="K11" s="141">
        <v>357.60399999999998</v>
      </c>
      <c r="L11" s="141">
        <v>0</v>
      </c>
      <c r="M11" s="141">
        <v>0</v>
      </c>
      <c r="N11" s="141">
        <v>2352.7239999999997</v>
      </c>
      <c r="O11" s="141">
        <v>119.66600000000001</v>
      </c>
      <c r="P11" s="141">
        <v>0</v>
      </c>
      <c r="Q11" s="141">
        <v>0</v>
      </c>
      <c r="R11" s="141">
        <v>0</v>
      </c>
      <c r="S11" s="141">
        <v>1.01</v>
      </c>
      <c r="T11" s="141">
        <v>119.66600000000001</v>
      </c>
      <c r="U11" s="141">
        <v>2954.1799999999994</v>
      </c>
    </row>
    <row r="12" spans="1:21" ht="38.25" customHeight="1" x14ac:dyDescent="0.35">
      <c r="A12" s="171">
        <v>4</v>
      </c>
      <c r="B12" s="231" t="s">
        <v>83</v>
      </c>
      <c r="C12" s="139">
        <v>141.9999999999996</v>
      </c>
      <c r="D12" s="139">
        <v>0</v>
      </c>
      <c r="E12" s="139">
        <v>0</v>
      </c>
      <c r="F12" s="139">
        <v>119.82</v>
      </c>
      <c r="G12" s="139">
        <v>333.13</v>
      </c>
      <c r="H12" s="139">
        <v>22.179999999999609</v>
      </c>
      <c r="I12" s="139">
        <v>1156.2449999999997</v>
      </c>
      <c r="J12" s="221">
        <v>117.91</v>
      </c>
      <c r="K12" s="139">
        <v>363.40999999999997</v>
      </c>
      <c r="L12" s="139">
        <v>0</v>
      </c>
      <c r="M12" s="139">
        <v>0</v>
      </c>
      <c r="N12" s="139">
        <v>1274.1549999999997</v>
      </c>
      <c r="O12" s="139">
        <v>22.840000000000011</v>
      </c>
      <c r="P12" s="139">
        <v>0</v>
      </c>
      <c r="Q12" s="139">
        <v>2.11</v>
      </c>
      <c r="R12" s="139">
        <v>20.87</v>
      </c>
      <c r="S12" s="139">
        <v>36.99</v>
      </c>
      <c r="T12" s="139">
        <v>1.9700000000000095</v>
      </c>
      <c r="U12" s="139">
        <v>1298.3049999999994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v>0</v>
      </c>
      <c r="F13" s="139">
        <v>0</v>
      </c>
      <c r="G13" s="139">
        <v>0</v>
      </c>
      <c r="H13" s="139">
        <v>312.23000000000013</v>
      </c>
      <c r="I13" s="139">
        <v>542.29200000000014</v>
      </c>
      <c r="J13" s="221">
        <v>1.82</v>
      </c>
      <c r="K13" s="139">
        <v>16.28</v>
      </c>
      <c r="L13" s="139">
        <v>0</v>
      </c>
      <c r="M13" s="139">
        <v>0.7</v>
      </c>
      <c r="N13" s="139">
        <v>544.11200000000019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924.73200000000031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v>0</v>
      </c>
      <c r="F14" s="139">
        <v>0</v>
      </c>
      <c r="G14" s="139">
        <v>0</v>
      </c>
      <c r="H14" s="139">
        <v>1216.4399999999994</v>
      </c>
      <c r="I14" s="139">
        <v>897.36800000000017</v>
      </c>
      <c r="J14" s="221">
        <v>3.94</v>
      </c>
      <c r="K14" s="139">
        <v>36.519999999999996</v>
      </c>
      <c r="L14" s="139">
        <v>0</v>
      </c>
      <c r="M14" s="139">
        <v>0</v>
      </c>
      <c r="N14" s="139">
        <v>901.30800000000022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2179.0779999999995</v>
      </c>
    </row>
    <row r="15" spans="1:21" s="111" customFormat="1" ht="38.25" customHeight="1" x14ac:dyDescent="0.4">
      <c r="A15" s="308" t="s">
        <v>86</v>
      </c>
      <c r="B15" s="309"/>
      <c r="C15" s="141">
        <v>1670.6699999999992</v>
      </c>
      <c r="D15" s="141">
        <v>0</v>
      </c>
      <c r="E15" s="141">
        <v>0</v>
      </c>
      <c r="F15" s="141">
        <v>119.82</v>
      </c>
      <c r="G15" s="141">
        <v>333.13</v>
      </c>
      <c r="H15" s="141">
        <v>1550.849999999999</v>
      </c>
      <c r="I15" s="141">
        <v>2595.9049999999997</v>
      </c>
      <c r="J15" s="141">
        <v>123.66999999999999</v>
      </c>
      <c r="K15" s="141">
        <v>416.20999999999992</v>
      </c>
      <c r="L15" s="141">
        <v>0</v>
      </c>
      <c r="M15" s="141">
        <v>0.7</v>
      </c>
      <c r="N15" s="141">
        <v>2719.5749999999998</v>
      </c>
      <c r="O15" s="141">
        <v>152.56</v>
      </c>
      <c r="P15" s="141">
        <v>0</v>
      </c>
      <c r="Q15" s="141">
        <v>2.11</v>
      </c>
      <c r="R15" s="141">
        <v>20.87</v>
      </c>
      <c r="S15" s="141">
        <v>36.99</v>
      </c>
      <c r="T15" s="141">
        <v>131.69</v>
      </c>
      <c r="U15" s="141">
        <v>4402.1149999999998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775.10400000000038</v>
      </c>
      <c r="D16" s="139">
        <v>3.29</v>
      </c>
      <c r="E16" s="139">
        <v>9.5100000000000016</v>
      </c>
      <c r="F16" s="139">
        <v>18.77</v>
      </c>
      <c r="G16" s="139">
        <v>243.73</v>
      </c>
      <c r="H16" s="139">
        <v>759.62400000000036</v>
      </c>
      <c r="I16" s="139">
        <v>575.27600000000007</v>
      </c>
      <c r="J16" s="139">
        <v>1.21</v>
      </c>
      <c r="K16" s="139">
        <v>277.43999999999994</v>
      </c>
      <c r="L16" s="139">
        <v>0</v>
      </c>
      <c r="M16" s="139">
        <v>0</v>
      </c>
      <c r="N16" s="139">
        <v>576.4860000000001</v>
      </c>
      <c r="O16" s="139">
        <v>177.44200000000004</v>
      </c>
      <c r="P16" s="139">
        <v>0</v>
      </c>
      <c r="Q16" s="139">
        <v>0.03</v>
      </c>
      <c r="R16" s="139">
        <v>0</v>
      </c>
      <c r="S16" s="139">
        <v>0</v>
      </c>
      <c r="T16" s="139">
        <v>177.44200000000004</v>
      </c>
      <c r="U16" s="139">
        <v>1513.5520000000006</v>
      </c>
    </row>
    <row r="17" spans="1:21" ht="38.25" customHeight="1" x14ac:dyDescent="0.35">
      <c r="A17" s="171">
        <v>9</v>
      </c>
      <c r="B17" s="231" t="s">
        <v>120</v>
      </c>
      <c r="C17" s="139">
        <v>2.6759999999999478</v>
      </c>
      <c r="D17" s="139">
        <v>0</v>
      </c>
      <c r="E17" s="139">
        <v>0</v>
      </c>
      <c r="F17" s="139">
        <v>0</v>
      </c>
      <c r="G17" s="139">
        <v>3.74</v>
      </c>
      <c r="H17" s="139">
        <v>2.6759999999999478</v>
      </c>
      <c r="I17" s="139">
        <v>583.9</v>
      </c>
      <c r="J17" s="139">
        <v>2.59</v>
      </c>
      <c r="K17" s="139">
        <v>74.740000000000009</v>
      </c>
      <c r="L17" s="139">
        <v>0</v>
      </c>
      <c r="M17" s="139">
        <v>0</v>
      </c>
      <c r="N17" s="139">
        <v>586.49</v>
      </c>
      <c r="O17" s="139">
        <v>1.9500000000000002</v>
      </c>
      <c r="P17" s="139">
        <v>0</v>
      </c>
      <c r="Q17" s="139">
        <v>1.3399999999999999</v>
      </c>
      <c r="R17" s="139">
        <v>0</v>
      </c>
      <c r="S17" s="139">
        <v>5.72</v>
      </c>
      <c r="T17" s="139">
        <v>1.9500000000000002</v>
      </c>
      <c r="U17" s="139">
        <v>591.11599999999999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90.266000000000147</v>
      </c>
      <c r="D18" s="139">
        <v>0.05</v>
      </c>
      <c r="E18" s="139">
        <v>1.4000000000000001</v>
      </c>
      <c r="F18" s="139">
        <v>0</v>
      </c>
      <c r="G18" s="139">
        <v>46.86</v>
      </c>
      <c r="H18" s="139">
        <v>90.316000000000145</v>
      </c>
      <c r="I18" s="139">
        <v>618.48699999999997</v>
      </c>
      <c r="J18" s="139">
        <v>0.32</v>
      </c>
      <c r="K18" s="139">
        <v>132.07999999999998</v>
      </c>
      <c r="L18" s="139">
        <v>0</v>
      </c>
      <c r="M18" s="139">
        <v>0.34</v>
      </c>
      <c r="N18" s="139">
        <v>618.80700000000002</v>
      </c>
      <c r="O18" s="139">
        <v>35.689999999999991</v>
      </c>
      <c r="P18" s="139">
        <v>0</v>
      </c>
      <c r="Q18" s="139">
        <v>0.89999999999999991</v>
      </c>
      <c r="R18" s="139">
        <v>0</v>
      </c>
      <c r="S18" s="139">
        <v>4.08</v>
      </c>
      <c r="T18" s="139">
        <v>35.689999999999991</v>
      </c>
      <c r="U18" s="139">
        <v>744.8130000000001</v>
      </c>
    </row>
    <row r="19" spans="1:21" s="111" customFormat="1" ht="38.25" customHeight="1" x14ac:dyDescent="0.4">
      <c r="A19" s="308" t="s">
        <v>89</v>
      </c>
      <c r="B19" s="309"/>
      <c r="C19" s="141">
        <v>868.0460000000005</v>
      </c>
      <c r="D19" s="141">
        <v>3.34</v>
      </c>
      <c r="E19" s="141">
        <v>10.910000000000002</v>
      </c>
      <c r="F19" s="141">
        <v>18.77</v>
      </c>
      <c r="G19" s="141">
        <v>294.33</v>
      </c>
      <c r="H19" s="141">
        <v>852.61600000000044</v>
      </c>
      <c r="I19" s="141">
        <v>1777.663</v>
      </c>
      <c r="J19" s="141">
        <v>4.12</v>
      </c>
      <c r="K19" s="141">
        <v>484.25999999999993</v>
      </c>
      <c r="L19" s="141">
        <v>0</v>
      </c>
      <c r="M19" s="141">
        <v>0.34</v>
      </c>
      <c r="N19" s="141">
        <v>1781.7830000000001</v>
      </c>
      <c r="O19" s="141">
        <v>215.08200000000002</v>
      </c>
      <c r="P19" s="141">
        <v>0</v>
      </c>
      <c r="Q19" s="141">
        <v>2.2699999999999996</v>
      </c>
      <c r="R19" s="141">
        <v>0</v>
      </c>
      <c r="S19" s="141">
        <v>9.8000000000000007</v>
      </c>
      <c r="T19" s="141">
        <v>215.08200000000002</v>
      </c>
      <c r="U19" s="141">
        <v>2849.4810000000007</v>
      </c>
    </row>
    <row r="20" spans="1:21" ht="38.25" customHeight="1" x14ac:dyDescent="0.35">
      <c r="A20" s="171">
        <v>8</v>
      </c>
      <c r="B20" s="231" t="s">
        <v>91</v>
      </c>
      <c r="C20" s="139">
        <v>607.27999999999986</v>
      </c>
      <c r="D20" s="139">
        <v>0.15</v>
      </c>
      <c r="E20" s="139">
        <v>1.77</v>
      </c>
      <c r="F20" s="139">
        <v>0</v>
      </c>
      <c r="G20" s="139">
        <v>24.91</v>
      </c>
      <c r="H20" s="139">
        <v>607.42999999999984</v>
      </c>
      <c r="I20" s="139">
        <v>734.3480000000003</v>
      </c>
      <c r="J20" s="139">
        <v>1.54</v>
      </c>
      <c r="K20" s="139">
        <v>337.74</v>
      </c>
      <c r="L20" s="139">
        <v>0</v>
      </c>
      <c r="M20" s="139">
        <v>1.04</v>
      </c>
      <c r="N20" s="139">
        <v>735.88800000000026</v>
      </c>
      <c r="O20" s="139">
        <v>37.580000000000005</v>
      </c>
      <c r="P20" s="139">
        <v>0</v>
      </c>
      <c r="Q20" s="139">
        <v>0</v>
      </c>
      <c r="R20" s="139">
        <v>0</v>
      </c>
      <c r="S20" s="139">
        <v>2.77</v>
      </c>
      <c r="T20" s="139">
        <v>37.580000000000005</v>
      </c>
      <c r="U20" s="139">
        <v>1380.8980000000001</v>
      </c>
    </row>
    <row r="21" spans="1:21" ht="38.25" customHeight="1" x14ac:dyDescent="0.35">
      <c r="A21" s="171">
        <v>9</v>
      </c>
      <c r="B21" s="231" t="s">
        <v>90</v>
      </c>
      <c r="C21" s="139">
        <v>2.0700000000000003</v>
      </c>
      <c r="D21" s="139">
        <v>0</v>
      </c>
      <c r="E21" s="139">
        <v>0</v>
      </c>
      <c r="F21" s="139">
        <v>0</v>
      </c>
      <c r="G21" s="139">
        <v>20.440000000000001</v>
      </c>
      <c r="H21" s="139">
        <v>2.0700000000000003</v>
      </c>
      <c r="I21" s="139">
        <v>458.86700000000008</v>
      </c>
      <c r="J21" s="139">
        <v>1.39</v>
      </c>
      <c r="K21" s="139">
        <v>62.14</v>
      </c>
      <c r="L21" s="139">
        <v>0</v>
      </c>
      <c r="M21" s="139">
        <v>0</v>
      </c>
      <c r="N21" s="139">
        <v>460.25700000000006</v>
      </c>
      <c r="O21" s="139">
        <v>18.889999999999997</v>
      </c>
      <c r="P21" s="139">
        <v>0</v>
      </c>
      <c r="Q21" s="139">
        <v>0.12</v>
      </c>
      <c r="R21" s="139">
        <v>0.6</v>
      </c>
      <c r="S21" s="139">
        <v>1.2</v>
      </c>
      <c r="T21" s="139">
        <v>18.289999999999996</v>
      </c>
      <c r="U21" s="139">
        <v>480.61700000000008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v>0</v>
      </c>
      <c r="F22" s="139">
        <v>0</v>
      </c>
      <c r="G22" s="139">
        <v>0</v>
      </c>
      <c r="H22" s="139">
        <v>22.430000000000021</v>
      </c>
      <c r="I22" s="139">
        <v>697.6500000000002</v>
      </c>
      <c r="J22" s="139">
        <v>0.27</v>
      </c>
      <c r="K22" s="139">
        <v>9.0299999999999976</v>
      </c>
      <c r="L22" s="139">
        <v>0</v>
      </c>
      <c r="M22" s="139">
        <v>0.08</v>
      </c>
      <c r="N22" s="139">
        <v>697.92000000000019</v>
      </c>
      <c r="O22" s="139">
        <v>0.60000000000000098</v>
      </c>
      <c r="P22" s="139">
        <v>0</v>
      </c>
      <c r="Q22" s="139">
        <v>0</v>
      </c>
      <c r="R22" s="139">
        <v>0</v>
      </c>
      <c r="S22" s="139">
        <v>0</v>
      </c>
      <c r="T22" s="139">
        <v>0.60000000000000098</v>
      </c>
      <c r="U22" s="139">
        <v>720.95000000000027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430.64</v>
      </c>
      <c r="D23" s="139">
        <v>0</v>
      </c>
      <c r="E23" s="139">
        <v>3.4</v>
      </c>
      <c r="F23" s="139">
        <v>0</v>
      </c>
      <c r="G23" s="139">
        <v>0</v>
      </c>
      <c r="H23" s="139">
        <v>430.64</v>
      </c>
      <c r="I23" s="139">
        <v>130.41499999999999</v>
      </c>
      <c r="J23" s="139">
        <v>7.42</v>
      </c>
      <c r="K23" s="139">
        <v>35.950000000000003</v>
      </c>
      <c r="L23" s="139">
        <v>0</v>
      </c>
      <c r="M23" s="139">
        <v>0</v>
      </c>
      <c r="N23" s="139">
        <v>137.83499999999998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590.97499999999991</v>
      </c>
    </row>
    <row r="24" spans="1:21" s="111" customFormat="1" ht="38.25" customHeight="1" x14ac:dyDescent="0.4">
      <c r="A24" s="313" t="s">
        <v>94</v>
      </c>
      <c r="B24" s="313"/>
      <c r="C24" s="141">
        <v>1062.42</v>
      </c>
      <c r="D24" s="141">
        <v>0.15</v>
      </c>
      <c r="E24" s="141">
        <v>5.17</v>
      </c>
      <c r="F24" s="141">
        <v>0</v>
      </c>
      <c r="G24" s="141">
        <v>45.35</v>
      </c>
      <c r="H24" s="141">
        <v>1062.57</v>
      </c>
      <c r="I24" s="141">
        <v>2021.2800000000007</v>
      </c>
      <c r="J24" s="141">
        <v>10.62</v>
      </c>
      <c r="K24" s="141">
        <v>444.85999999999996</v>
      </c>
      <c r="L24" s="141">
        <v>0</v>
      </c>
      <c r="M24" s="141">
        <v>1.1200000000000001</v>
      </c>
      <c r="N24" s="141">
        <v>2031.9000000000005</v>
      </c>
      <c r="O24" s="141">
        <v>79.569999999999993</v>
      </c>
      <c r="P24" s="141">
        <v>0</v>
      </c>
      <c r="Q24" s="141">
        <v>0.12</v>
      </c>
      <c r="R24" s="141">
        <v>0.6</v>
      </c>
      <c r="S24" s="141">
        <v>3.9699999999999998</v>
      </c>
      <c r="T24" s="141">
        <v>78.97</v>
      </c>
      <c r="U24" s="141">
        <v>3173.4400000000005</v>
      </c>
    </row>
    <row r="25" spans="1:21" s="145" customFormat="1" ht="38.25" customHeight="1" x14ac:dyDescent="0.4">
      <c r="A25" s="308" t="s">
        <v>95</v>
      </c>
      <c r="B25" s="309"/>
      <c r="C25" s="141">
        <v>4082.8959999999997</v>
      </c>
      <c r="D25" s="141">
        <v>3.5199999999999996</v>
      </c>
      <c r="E25" s="141">
        <v>16.14</v>
      </c>
      <c r="F25" s="141">
        <v>138.59</v>
      </c>
      <c r="G25" s="141">
        <v>755.67</v>
      </c>
      <c r="H25" s="141">
        <v>3947.8259999999991</v>
      </c>
      <c r="I25" s="141">
        <v>8719.4719999999998</v>
      </c>
      <c r="J25" s="141">
        <v>166.51</v>
      </c>
      <c r="K25" s="141">
        <v>1702.934</v>
      </c>
      <c r="L25" s="141">
        <v>0</v>
      </c>
      <c r="M25" s="141">
        <v>2.16</v>
      </c>
      <c r="N25" s="141">
        <v>8885.982</v>
      </c>
      <c r="O25" s="141">
        <v>566.87800000000004</v>
      </c>
      <c r="P25" s="141">
        <v>0</v>
      </c>
      <c r="Q25" s="141">
        <v>4.5</v>
      </c>
      <c r="R25" s="141">
        <v>21.470000000000002</v>
      </c>
      <c r="S25" s="141">
        <v>51.77</v>
      </c>
      <c r="T25" s="141">
        <v>545.40800000000002</v>
      </c>
      <c r="U25" s="141">
        <v>13379.216</v>
      </c>
    </row>
    <row r="26" spans="1:21" ht="38.25" customHeight="1" x14ac:dyDescent="0.35">
      <c r="A26" s="171">
        <v>15</v>
      </c>
      <c r="B26" s="231" t="s">
        <v>96</v>
      </c>
      <c r="C26" s="139">
        <v>1603.75</v>
      </c>
      <c r="D26" s="139">
        <v>2.4900000000000002</v>
      </c>
      <c r="E26" s="139">
        <v>53.259999999999991</v>
      </c>
      <c r="F26" s="139">
        <v>0</v>
      </c>
      <c r="G26" s="139">
        <v>0</v>
      </c>
      <c r="H26" s="139">
        <v>1606.24</v>
      </c>
      <c r="I26" s="139">
        <v>102.97999999999999</v>
      </c>
      <c r="J26" s="139">
        <v>15.96</v>
      </c>
      <c r="K26" s="139">
        <v>51.61</v>
      </c>
      <c r="L26" s="139">
        <v>0</v>
      </c>
      <c r="M26" s="139">
        <v>0</v>
      </c>
      <c r="N26" s="139">
        <v>118.94</v>
      </c>
      <c r="O26" s="139">
        <v>16.259999999999998</v>
      </c>
      <c r="P26" s="139">
        <v>0.11</v>
      </c>
      <c r="Q26" s="139">
        <v>0.26</v>
      </c>
      <c r="R26" s="139">
        <v>0</v>
      </c>
      <c r="S26" s="139">
        <v>0</v>
      </c>
      <c r="T26" s="139">
        <v>16.369999999999997</v>
      </c>
      <c r="U26" s="139">
        <v>1741.55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5675.6750000000047</v>
      </c>
      <c r="D27" s="139">
        <v>1.99</v>
      </c>
      <c r="E27" s="139">
        <v>100.96</v>
      </c>
      <c r="F27" s="139">
        <v>0</v>
      </c>
      <c r="G27" s="139">
        <v>0</v>
      </c>
      <c r="H27" s="139">
        <v>5677.6650000000045</v>
      </c>
      <c r="I27" s="139">
        <v>620.13799999999992</v>
      </c>
      <c r="J27" s="139">
        <v>2.75</v>
      </c>
      <c r="K27" s="139">
        <v>28.700000000000003</v>
      </c>
      <c r="L27" s="139">
        <v>0</v>
      </c>
      <c r="M27" s="139">
        <v>0</v>
      </c>
      <c r="N27" s="139">
        <v>622.88799999999992</v>
      </c>
      <c r="O27" s="139">
        <v>33.760000000000005</v>
      </c>
      <c r="P27" s="139">
        <v>0</v>
      </c>
      <c r="Q27" s="139">
        <v>0.27</v>
      </c>
      <c r="R27" s="139">
        <v>0</v>
      </c>
      <c r="S27" s="139">
        <v>0</v>
      </c>
      <c r="T27" s="139">
        <v>33.760000000000005</v>
      </c>
      <c r="U27" s="139">
        <v>6334.3130000000046</v>
      </c>
    </row>
    <row r="28" spans="1:21" s="111" customFormat="1" ht="38.25" customHeight="1" x14ac:dyDescent="0.4">
      <c r="A28" s="313" t="s">
        <v>98</v>
      </c>
      <c r="B28" s="313"/>
      <c r="C28" s="141">
        <v>7279.4250000000047</v>
      </c>
      <c r="D28" s="141">
        <v>4.4800000000000004</v>
      </c>
      <c r="E28" s="141">
        <v>154.21999999999997</v>
      </c>
      <c r="F28" s="141">
        <v>0</v>
      </c>
      <c r="G28" s="141">
        <v>0</v>
      </c>
      <c r="H28" s="141">
        <v>7283.9050000000043</v>
      </c>
      <c r="I28" s="141">
        <v>723.11799999999994</v>
      </c>
      <c r="J28" s="141">
        <v>18.71</v>
      </c>
      <c r="K28" s="141">
        <v>80.31</v>
      </c>
      <c r="L28" s="141">
        <v>0</v>
      </c>
      <c r="M28" s="141">
        <v>0</v>
      </c>
      <c r="N28" s="141">
        <v>741.82799999999997</v>
      </c>
      <c r="O28" s="141">
        <v>50.02</v>
      </c>
      <c r="P28" s="141">
        <v>0.11</v>
      </c>
      <c r="Q28" s="141">
        <v>0.53</v>
      </c>
      <c r="R28" s="141">
        <v>0</v>
      </c>
      <c r="S28" s="141">
        <v>0</v>
      </c>
      <c r="T28" s="141">
        <v>50.13</v>
      </c>
      <c r="U28" s="141">
        <v>8075.8630000000048</v>
      </c>
    </row>
    <row r="29" spans="1:21" ht="38.25" customHeight="1" x14ac:dyDescent="0.35">
      <c r="A29" s="171">
        <v>17</v>
      </c>
      <c r="B29" s="231" t="s">
        <v>99</v>
      </c>
      <c r="C29" s="139">
        <v>5004.4799999999996</v>
      </c>
      <c r="D29" s="139">
        <v>1.48</v>
      </c>
      <c r="E29" s="139">
        <v>45.66</v>
      </c>
      <c r="F29" s="139">
        <v>0</v>
      </c>
      <c r="G29" s="139">
        <v>0</v>
      </c>
      <c r="H29" s="139">
        <v>5005.9599999999991</v>
      </c>
      <c r="I29" s="139">
        <v>121.53000000000002</v>
      </c>
      <c r="J29" s="139">
        <v>0</v>
      </c>
      <c r="K29" s="139">
        <v>1.21</v>
      </c>
      <c r="L29" s="139">
        <v>0</v>
      </c>
      <c r="M29" s="139">
        <v>0</v>
      </c>
      <c r="N29" s="139">
        <v>121.53000000000002</v>
      </c>
      <c r="O29" s="139">
        <v>34.52000000000001</v>
      </c>
      <c r="P29" s="139">
        <v>0</v>
      </c>
      <c r="Q29" s="139">
        <v>0</v>
      </c>
      <c r="R29" s="139">
        <v>0</v>
      </c>
      <c r="S29" s="139">
        <v>23.2</v>
      </c>
      <c r="T29" s="139">
        <v>34.52000000000001</v>
      </c>
      <c r="U29" s="139">
        <v>5162.0099999999993</v>
      </c>
    </row>
    <row r="30" spans="1:21" ht="38.25" customHeight="1" x14ac:dyDescent="0.35">
      <c r="A30" s="171">
        <v>18</v>
      </c>
      <c r="B30" s="231" t="s">
        <v>100</v>
      </c>
      <c r="C30" s="139">
        <v>3692.4499999999994</v>
      </c>
      <c r="D30" s="139">
        <v>1.5</v>
      </c>
      <c r="E30" s="139">
        <v>81.610000000000014</v>
      </c>
      <c r="F30" s="139">
        <v>0</v>
      </c>
      <c r="G30" s="139">
        <v>0</v>
      </c>
      <c r="H30" s="139">
        <v>3693.9499999999994</v>
      </c>
      <c r="I30" s="139">
        <v>198.58699999999999</v>
      </c>
      <c r="J30" s="139">
        <v>0</v>
      </c>
      <c r="K30" s="139">
        <v>0</v>
      </c>
      <c r="L30" s="139">
        <v>0</v>
      </c>
      <c r="M30" s="139">
        <v>0</v>
      </c>
      <c r="N30" s="139">
        <v>198.58699999999999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3915.7869999999994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4696.3920000000007</v>
      </c>
      <c r="D31" s="139">
        <v>1.895</v>
      </c>
      <c r="E31" s="139">
        <v>32.708000000000006</v>
      </c>
      <c r="F31" s="139">
        <v>0</v>
      </c>
      <c r="G31" s="139">
        <v>0</v>
      </c>
      <c r="H31" s="139">
        <v>4698.2870000000012</v>
      </c>
      <c r="I31" s="139">
        <v>107.69000000000003</v>
      </c>
      <c r="J31" s="139">
        <v>0</v>
      </c>
      <c r="K31" s="139">
        <v>0</v>
      </c>
      <c r="L31" s="139">
        <v>0</v>
      </c>
      <c r="M31" s="139">
        <v>0</v>
      </c>
      <c r="N31" s="139">
        <v>107.69000000000003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4820.8270000000011</v>
      </c>
    </row>
    <row r="32" spans="1:21" ht="38.25" customHeight="1" x14ac:dyDescent="0.35">
      <c r="A32" s="171">
        <v>20</v>
      </c>
      <c r="B32" s="231" t="s">
        <v>102</v>
      </c>
      <c r="C32" s="139">
        <v>2357.0057999999995</v>
      </c>
      <c r="D32" s="139">
        <v>3.45</v>
      </c>
      <c r="E32" s="139">
        <v>46.71</v>
      </c>
      <c r="F32" s="139">
        <v>0</v>
      </c>
      <c r="G32" s="139">
        <v>0</v>
      </c>
      <c r="H32" s="139">
        <v>2360.4557999999993</v>
      </c>
      <c r="I32" s="139">
        <v>89.356000000000009</v>
      </c>
      <c r="J32" s="139">
        <v>0.53</v>
      </c>
      <c r="K32" s="139">
        <v>7.04</v>
      </c>
      <c r="L32" s="139">
        <v>0</v>
      </c>
      <c r="M32" s="139">
        <v>0</v>
      </c>
      <c r="N32" s="139">
        <v>89.88600000000001</v>
      </c>
      <c r="O32" s="139">
        <v>67.551999999999992</v>
      </c>
      <c r="P32" s="139">
        <v>0</v>
      </c>
      <c r="Q32" s="139">
        <v>0</v>
      </c>
      <c r="R32" s="139">
        <v>0</v>
      </c>
      <c r="S32" s="139">
        <v>0</v>
      </c>
      <c r="T32" s="139">
        <v>67.551999999999992</v>
      </c>
      <c r="U32" s="139">
        <v>2517.8937999999994</v>
      </c>
    </row>
    <row r="33" spans="1:21" s="111" customFormat="1" ht="38.25" customHeight="1" x14ac:dyDescent="0.4">
      <c r="A33" s="313" t="s">
        <v>99</v>
      </c>
      <c r="B33" s="313"/>
      <c r="C33" s="141">
        <v>15750.327799999999</v>
      </c>
      <c r="D33" s="141">
        <v>8.3249999999999993</v>
      </c>
      <c r="E33" s="141">
        <v>206.68800000000002</v>
      </c>
      <c r="F33" s="141">
        <v>0</v>
      </c>
      <c r="G33" s="141">
        <v>0</v>
      </c>
      <c r="H33" s="141">
        <v>15758.6528</v>
      </c>
      <c r="I33" s="141">
        <v>517.16300000000001</v>
      </c>
      <c r="J33" s="141">
        <v>0.53</v>
      </c>
      <c r="K33" s="141">
        <v>8.25</v>
      </c>
      <c r="L33" s="141">
        <v>0</v>
      </c>
      <c r="M33" s="141">
        <v>0</v>
      </c>
      <c r="N33" s="141">
        <v>517.69299999999998</v>
      </c>
      <c r="O33" s="141">
        <v>140.172</v>
      </c>
      <c r="P33" s="141">
        <v>0</v>
      </c>
      <c r="Q33" s="141">
        <v>0</v>
      </c>
      <c r="R33" s="141">
        <v>0</v>
      </c>
      <c r="S33" s="141">
        <v>23.2</v>
      </c>
      <c r="T33" s="141">
        <v>140.172</v>
      </c>
      <c r="U33" s="141">
        <v>16416.517799999998</v>
      </c>
    </row>
    <row r="34" spans="1:21" ht="38.25" customHeight="1" x14ac:dyDescent="0.35">
      <c r="A34" s="171">
        <v>21</v>
      </c>
      <c r="B34" s="231" t="s">
        <v>103</v>
      </c>
      <c r="C34" s="139">
        <v>4576.87</v>
      </c>
      <c r="D34" s="139">
        <v>6.71</v>
      </c>
      <c r="E34" s="139">
        <v>154.36999999999998</v>
      </c>
      <c r="F34" s="139">
        <v>0</v>
      </c>
      <c r="G34" s="139">
        <v>9.89</v>
      </c>
      <c r="H34" s="139">
        <v>4583.58</v>
      </c>
      <c r="I34" s="139">
        <v>108.07999999999998</v>
      </c>
      <c r="J34" s="139">
        <v>0</v>
      </c>
      <c r="K34" s="139">
        <v>108.07999999999998</v>
      </c>
      <c r="L34" s="139">
        <v>0</v>
      </c>
      <c r="M34" s="139">
        <v>0</v>
      </c>
      <c r="N34" s="139">
        <v>108.07999999999998</v>
      </c>
      <c r="O34" s="139">
        <v>72.7</v>
      </c>
      <c r="P34" s="139">
        <v>0</v>
      </c>
      <c r="Q34" s="139">
        <v>72.7</v>
      </c>
      <c r="R34" s="139">
        <v>0</v>
      </c>
      <c r="S34" s="139">
        <v>0</v>
      </c>
      <c r="T34" s="139">
        <v>72.7</v>
      </c>
      <c r="U34" s="139">
        <v>4764.3599999999997</v>
      </c>
    </row>
    <row r="35" spans="1:21" ht="38.25" customHeight="1" x14ac:dyDescent="0.35">
      <c r="A35" s="171">
        <v>22</v>
      </c>
      <c r="B35" s="231" t="s">
        <v>104</v>
      </c>
      <c r="C35" s="139">
        <v>6606.1399999999976</v>
      </c>
      <c r="D35" s="139">
        <v>36.06</v>
      </c>
      <c r="E35" s="139">
        <v>432.62</v>
      </c>
      <c r="F35" s="139">
        <v>0</v>
      </c>
      <c r="G35" s="139">
        <v>0</v>
      </c>
      <c r="H35" s="139">
        <v>6642.199999999998</v>
      </c>
      <c r="I35" s="139">
        <v>34.130000000000003</v>
      </c>
      <c r="J35" s="139">
        <v>0</v>
      </c>
      <c r="K35" s="139">
        <v>27.21</v>
      </c>
      <c r="L35" s="139">
        <v>0</v>
      </c>
      <c r="M35" s="139">
        <v>0</v>
      </c>
      <c r="N35" s="139">
        <v>34.130000000000003</v>
      </c>
      <c r="O35" s="139">
        <v>90.800000000000011</v>
      </c>
      <c r="P35" s="139">
        <v>0</v>
      </c>
      <c r="Q35" s="139">
        <v>32.380000000000003</v>
      </c>
      <c r="R35" s="139">
        <v>0</v>
      </c>
      <c r="S35" s="139">
        <v>0</v>
      </c>
      <c r="T35" s="139">
        <v>90.800000000000011</v>
      </c>
      <c r="U35" s="139">
        <v>6767.1299999999983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3663.4</v>
      </c>
      <c r="D36" s="139">
        <v>9.02</v>
      </c>
      <c r="E36" s="139">
        <v>221.32</v>
      </c>
      <c r="F36" s="139">
        <v>0</v>
      </c>
      <c r="G36" s="139">
        <v>0</v>
      </c>
      <c r="H36" s="139">
        <v>3672.42</v>
      </c>
      <c r="I36" s="139">
        <v>30.250000000000039</v>
      </c>
      <c r="J36" s="139">
        <v>0</v>
      </c>
      <c r="K36" s="139">
        <v>5.2</v>
      </c>
      <c r="L36" s="139">
        <v>0</v>
      </c>
      <c r="M36" s="139">
        <v>4.63</v>
      </c>
      <c r="N36" s="139">
        <v>30.250000000000039</v>
      </c>
      <c r="O36" s="139">
        <v>36.379999999999995</v>
      </c>
      <c r="P36" s="139">
        <v>0</v>
      </c>
      <c r="Q36" s="139">
        <v>19.29</v>
      </c>
      <c r="R36" s="139">
        <v>0</v>
      </c>
      <c r="S36" s="139">
        <v>0</v>
      </c>
      <c r="T36" s="139">
        <v>36.379999999999995</v>
      </c>
      <c r="U36" s="139">
        <v>3739.05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5080.949999999998</v>
      </c>
      <c r="D37" s="139">
        <v>0.3</v>
      </c>
      <c r="E37" s="139">
        <v>293.13000000000005</v>
      </c>
      <c r="F37" s="139">
        <v>0</v>
      </c>
      <c r="G37" s="139">
        <v>0</v>
      </c>
      <c r="H37" s="139">
        <v>5081.2499999999982</v>
      </c>
      <c r="I37" s="139">
        <v>26.700000000000003</v>
      </c>
      <c r="J37" s="139">
        <v>0</v>
      </c>
      <c r="K37" s="139">
        <v>14.27</v>
      </c>
      <c r="L37" s="139">
        <v>0</v>
      </c>
      <c r="M37" s="139">
        <v>1.06</v>
      </c>
      <c r="N37" s="139">
        <v>26.700000000000003</v>
      </c>
      <c r="O37" s="139">
        <v>3.0599999999999996</v>
      </c>
      <c r="P37" s="139">
        <v>0</v>
      </c>
      <c r="Q37" s="139">
        <v>0</v>
      </c>
      <c r="R37" s="139">
        <v>0</v>
      </c>
      <c r="S37" s="139">
        <v>3.46</v>
      </c>
      <c r="T37" s="139">
        <v>3.0599999999999996</v>
      </c>
      <c r="U37" s="139">
        <v>5111.0099999999984</v>
      </c>
    </row>
    <row r="38" spans="1:21" s="111" customFormat="1" ht="38.25" customHeight="1" x14ac:dyDescent="0.4">
      <c r="A38" s="313" t="s">
        <v>107</v>
      </c>
      <c r="B38" s="313"/>
      <c r="C38" s="141">
        <v>19927.359999999997</v>
      </c>
      <c r="D38" s="141">
        <v>52.09</v>
      </c>
      <c r="E38" s="141">
        <v>1101.44</v>
      </c>
      <c r="F38" s="141">
        <v>0</v>
      </c>
      <c r="G38" s="141">
        <v>9.89</v>
      </c>
      <c r="H38" s="141">
        <v>19979.449999999997</v>
      </c>
      <c r="I38" s="141">
        <v>199.16000000000003</v>
      </c>
      <c r="J38" s="141">
        <v>0</v>
      </c>
      <c r="K38" s="141">
        <v>154.76</v>
      </c>
      <c r="L38" s="141">
        <v>0</v>
      </c>
      <c r="M38" s="141">
        <v>5.6899999999999995</v>
      </c>
      <c r="N38" s="141">
        <v>199.16000000000003</v>
      </c>
      <c r="O38" s="141">
        <v>202.94</v>
      </c>
      <c r="P38" s="141">
        <v>0</v>
      </c>
      <c r="Q38" s="141">
        <v>124.37</v>
      </c>
      <c r="R38" s="141">
        <v>0</v>
      </c>
      <c r="S38" s="141">
        <v>3.46</v>
      </c>
      <c r="T38" s="141">
        <v>202.94</v>
      </c>
      <c r="U38" s="141">
        <v>20381.549999999996</v>
      </c>
    </row>
    <row r="39" spans="1:21" s="145" customFormat="1" ht="38.25" customHeight="1" x14ac:dyDescent="0.4">
      <c r="A39" s="313" t="s">
        <v>108</v>
      </c>
      <c r="B39" s="313"/>
      <c r="C39" s="141">
        <v>42957.112800000003</v>
      </c>
      <c r="D39" s="141">
        <v>64.89500000000001</v>
      </c>
      <c r="E39" s="141">
        <v>1462.3480000000002</v>
      </c>
      <c r="F39" s="141">
        <v>0</v>
      </c>
      <c r="G39" s="141">
        <v>9.89</v>
      </c>
      <c r="H39" s="141">
        <v>43022.007799999999</v>
      </c>
      <c r="I39" s="141">
        <v>1439.441</v>
      </c>
      <c r="J39" s="141">
        <v>19.240000000000002</v>
      </c>
      <c r="K39" s="141">
        <v>243.32</v>
      </c>
      <c r="L39" s="141">
        <v>0</v>
      </c>
      <c r="M39" s="141">
        <v>5.6899999999999995</v>
      </c>
      <c r="N39" s="141">
        <v>1458.681</v>
      </c>
      <c r="O39" s="141">
        <v>393.13199999999995</v>
      </c>
      <c r="P39" s="141">
        <v>0.11</v>
      </c>
      <c r="Q39" s="141">
        <v>124.9</v>
      </c>
      <c r="R39" s="141">
        <v>0</v>
      </c>
      <c r="S39" s="141">
        <v>26.66</v>
      </c>
      <c r="T39" s="141">
        <v>393.24199999999996</v>
      </c>
      <c r="U39" s="141">
        <v>44873.930799999995</v>
      </c>
    </row>
    <row r="40" spans="1:21" ht="38.25" customHeight="1" x14ac:dyDescent="0.35">
      <c r="A40" s="171">
        <v>25</v>
      </c>
      <c r="B40" s="231" t="s">
        <v>109</v>
      </c>
      <c r="C40" s="139">
        <v>11810.573999999999</v>
      </c>
      <c r="D40" s="139">
        <v>19.14</v>
      </c>
      <c r="E40" s="139">
        <v>439.27</v>
      </c>
      <c r="F40" s="139">
        <v>0</v>
      </c>
      <c r="G40" s="139">
        <v>0</v>
      </c>
      <c r="H40" s="139">
        <v>11829.713999999998</v>
      </c>
      <c r="I40" s="139">
        <v>198.73</v>
      </c>
      <c r="J40" s="139">
        <v>0</v>
      </c>
      <c r="K40" s="139">
        <v>0</v>
      </c>
      <c r="L40" s="139">
        <v>0</v>
      </c>
      <c r="M40" s="139">
        <v>0</v>
      </c>
      <c r="N40" s="139">
        <v>198.73</v>
      </c>
      <c r="O40" s="139">
        <v>95.79</v>
      </c>
      <c r="P40" s="139">
        <v>11.14</v>
      </c>
      <c r="Q40" s="139">
        <v>106.93</v>
      </c>
      <c r="R40" s="139">
        <v>0</v>
      </c>
      <c r="S40" s="139">
        <v>0</v>
      </c>
      <c r="T40" s="139">
        <v>106.93</v>
      </c>
      <c r="U40" s="139">
        <v>12135.373999999998</v>
      </c>
    </row>
    <row r="41" spans="1:21" ht="38.25" customHeight="1" x14ac:dyDescent="0.35">
      <c r="A41" s="171">
        <v>26</v>
      </c>
      <c r="B41" s="231" t="s">
        <v>110</v>
      </c>
      <c r="C41" s="139">
        <v>8262.3289999999943</v>
      </c>
      <c r="D41" s="139">
        <v>129.81</v>
      </c>
      <c r="E41" s="139">
        <v>894.10200000000009</v>
      </c>
      <c r="F41" s="139">
        <v>0</v>
      </c>
      <c r="G41" s="139">
        <v>0</v>
      </c>
      <c r="H41" s="139">
        <v>8392.1389999999938</v>
      </c>
      <c r="I41" s="139">
        <v>8.67</v>
      </c>
      <c r="J41" s="139">
        <v>0</v>
      </c>
      <c r="K41" s="139">
        <v>0</v>
      </c>
      <c r="L41" s="139">
        <v>0</v>
      </c>
      <c r="M41" s="139">
        <v>0</v>
      </c>
      <c r="N41" s="139">
        <v>8.67</v>
      </c>
      <c r="O41" s="139">
        <v>127.28000000000002</v>
      </c>
      <c r="P41" s="139">
        <v>14.01</v>
      </c>
      <c r="Q41" s="139">
        <v>141.29000000000002</v>
      </c>
      <c r="R41" s="139">
        <v>0</v>
      </c>
      <c r="S41" s="139">
        <v>0</v>
      </c>
      <c r="T41" s="139">
        <v>141.29000000000002</v>
      </c>
      <c r="U41" s="139">
        <v>8542.0989999999947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13898.702999999996</v>
      </c>
      <c r="D42" s="139">
        <v>132.54999999999998</v>
      </c>
      <c r="E42" s="139">
        <v>225.81399999999999</v>
      </c>
      <c r="F42" s="139">
        <v>0</v>
      </c>
      <c r="G42" s="139">
        <v>0</v>
      </c>
      <c r="H42" s="139">
        <v>14031.252999999995</v>
      </c>
      <c r="I42" s="139">
        <v>15.62</v>
      </c>
      <c r="J42" s="139">
        <v>0</v>
      </c>
      <c r="K42" s="139">
        <v>0</v>
      </c>
      <c r="L42" s="139">
        <v>0</v>
      </c>
      <c r="M42" s="139">
        <v>0</v>
      </c>
      <c r="N42" s="139">
        <v>15.62</v>
      </c>
      <c r="O42" s="139">
        <v>177.82</v>
      </c>
      <c r="P42" s="139">
        <v>27.53</v>
      </c>
      <c r="Q42" s="139">
        <v>166.33</v>
      </c>
      <c r="R42" s="139">
        <v>0</v>
      </c>
      <c r="S42" s="139">
        <v>0</v>
      </c>
      <c r="T42" s="139">
        <v>205.35</v>
      </c>
      <c r="U42" s="139">
        <v>14252.222999999996</v>
      </c>
    </row>
    <row r="43" spans="1:21" ht="38.25" customHeight="1" x14ac:dyDescent="0.35">
      <c r="A43" s="171">
        <v>28</v>
      </c>
      <c r="B43" s="231" t="s">
        <v>112</v>
      </c>
      <c r="C43" s="139">
        <v>4123.3400000000011</v>
      </c>
      <c r="D43" s="139">
        <v>25.49</v>
      </c>
      <c r="E43" s="139">
        <v>181.35000000000002</v>
      </c>
      <c r="F43" s="139">
        <v>0</v>
      </c>
      <c r="G43" s="139">
        <v>0</v>
      </c>
      <c r="H43" s="139">
        <v>4148.8300000000008</v>
      </c>
      <c r="I43" s="139">
        <v>3.5</v>
      </c>
      <c r="J43" s="139">
        <v>0</v>
      </c>
      <c r="K43" s="139">
        <v>0</v>
      </c>
      <c r="L43" s="139">
        <v>0</v>
      </c>
      <c r="M43" s="139">
        <v>0</v>
      </c>
      <c r="N43" s="139">
        <v>3.5</v>
      </c>
      <c r="O43" s="139">
        <v>29.8</v>
      </c>
      <c r="P43" s="139">
        <v>0</v>
      </c>
      <c r="Q43" s="139">
        <v>29.8</v>
      </c>
      <c r="R43" s="139">
        <v>0</v>
      </c>
      <c r="S43" s="139">
        <v>0</v>
      </c>
      <c r="T43" s="139">
        <v>29.8</v>
      </c>
      <c r="U43" s="139">
        <v>4182.130000000001</v>
      </c>
    </row>
    <row r="44" spans="1:21" s="111" customFormat="1" ht="38.25" customHeight="1" x14ac:dyDescent="0.4">
      <c r="A44" s="313" t="s">
        <v>109</v>
      </c>
      <c r="B44" s="313"/>
      <c r="C44" s="141">
        <v>38094.945999999989</v>
      </c>
      <c r="D44" s="141">
        <v>306.99</v>
      </c>
      <c r="E44" s="141">
        <v>1740.5360000000001</v>
      </c>
      <c r="F44" s="141">
        <v>0</v>
      </c>
      <c r="G44" s="141">
        <v>0</v>
      </c>
      <c r="H44" s="141">
        <v>38401.935999999987</v>
      </c>
      <c r="I44" s="141">
        <v>226.51999999999998</v>
      </c>
      <c r="J44" s="141">
        <v>0</v>
      </c>
      <c r="K44" s="141">
        <v>0</v>
      </c>
      <c r="L44" s="141">
        <v>0</v>
      </c>
      <c r="M44" s="141">
        <v>0</v>
      </c>
      <c r="N44" s="141">
        <v>226.51999999999998</v>
      </c>
      <c r="O44" s="141">
        <v>430.69</v>
      </c>
      <c r="P44" s="141">
        <v>52.68</v>
      </c>
      <c r="Q44" s="141">
        <v>444.35000000000008</v>
      </c>
      <c r="R44" s="141">
        <v>0</v>
      </c>
      <c r="S44" s="141">
        <v>0</v>
      </c>
      <c r="T44" s="141">
        <v>483.37000000000006</v>
      </c>
      <c r="U44" s="141">
        <v>39111.825999999986</v>
      </c>
    </row>
    <row r="45" spans="1:21" ht="38.25" customHeight="1" x14ac:dyDescent="0.35">
      <c r="A45" s="171">
        <v>29</v>
      </c>
      <c r="B45" s="231" t="s">
        <v>113</v>
      </c>
      <c r="C45" s="139">
        <v>8328.2121000000006</v>
      </c>
      <c r="D45" s="139">
        <v>12.46</v>
      </c>
      <c r="E45" s="139">
        <v>288.69</v>
      </c>
      <c r="F45" s="139">
        <v>0</v>
      </c>
      <c r="G45" s="139">
        <v>0</v>
      </c>
      <c r="H45" s="139">
        <v>8340.6720999999998</v>
      </c>
      <c r="I45" s="139">
        <v>260.96999999999997</v>
      </c>
      <c r="J45" s="139">
        <v>0.08</v>
      </c>
      <c r="K45" s="139">
        <v>219.13</v>
      </c>
      <c r="L45" s="139">
        <v>0</v>
      </c>
      <c r="M45" s="139">
        <v>0</v>
      </c>
      <c r="N45" s="139">
        <v>261.04999999999995</v>
      </c>
      <c r="O45" s="139">
        <v>84.27</v>
      </c>
      <c r="P45" s="139">
        <v>0.12</v>
      </c>
      <c r="Q45" s="139">
        <v>69.64</v>
      </c>
      <c r="R45" s="139">
        <v>0</v>
      </c>
      <c r="S45" s="139">
        <v>0</v>
      </c>
      <c r="T45" s="139">
        <v>84.39</v>
      </c>
      <c r="U45" s="139">
        <v>8686.1120999999985</v>
      </c>
    </row>
    <row r="46" spans="1:21" ht="38.25" customHeight="1" x14ac:dyDescent="0.35">
      <c r="A46" s="171">
        <v>30</v>
      </c>
      <c r="B46" s="231" t="s">
        <v>114</v>
      </c>
      <c r="C46" s="139">
        <v>7843.8050000000021</v>
      </c>
      <c r="D46" s="139">
        <v>68.739999999999995</v>
      </c>
      <c r="E46" s="139">
        <v>174.05</v>
      </c>
      <c r="F46" s="139">
        <v>0</v>
      </c>
      <c r="G46" s="139">
        <v>0</v>
      </c>
      <c r="H46" s="139">
        <v>7912.5450000000019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47.03</v>
      </c>
      <c r="P46" s="139">
        <v>0</v>
      </c>
      <c r="Q46" s="139">
        <v>47.03</v>
      </c>
      <c r="R46" s="139">
        <v>0</v>
      </c>
      <c r="S46" s="139">
        <v>0</v>
      </c>
      <c r="T46" s="139">
        <v>47.03</v>
      </c>
      <c r="U46" s="139">
        <v>7959.5750000000016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9031.1199999999972</v>
      </c>
      <c r="D47" s="139">
        <v>1.93</v>
      </c>
      <c r="E47" s="139">
        <v>248.41000000000003</v>
      </c>
      <c r="F47" s="139">
        <v>0</v>
      </c>
      <c r="G47" s="139">
        <v>0</v>
      </c>
      <c r="H47" s="139">
        <v>9033.0499999999975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118.94999999999999</v>
      </c>
      <c r="P47" s="139">
        <v>0</v>
      </c>
      <c r="Q47" s="139">
        <v>118.91999999999999</v>
      </c>
      <c r="R47" s="139">
        <v>0</v>
      </c>
      <c r="S47" s="139">
        <v>0</v>
      </c>
      <c r="T47" s="139">
        <v>118.94999999999999</v>
      </c>
      <c r="U47" s="139">
        <v>9155.1299999999974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8596.498999999998</v>
      </c>
      <c r="D48" s="139">
        <v>0.9</v>
      </c>
      <c r="E48" s="139">
        <v>400.60999999999996</v>
      </c>
      <c r="F48" s="139">
        <v>0</v>
      </c>
      <c r="G48" s="139">
        <v>0</v>
      </c>
      <c r="H48" s="139">
        <v>8597.3989999999976</v>
      </c>
      <c r="I48" s="139">
        <v>5.0249999999999995</v>
      </c>
      <c r="J48" s="139">
        <v>0</v>
      </c>
      <c r="K48" s="139">
        <v>0</v>
      </c>
      <c r="L48" s="139">
        <v>0</v>
      </c>
      <c r="M48" s="139">
        <v>0</v>
      </c>
      <c r="N48" s="139">
        <v>5.0249999999999995</v>
      </c>
      <c r="O48" s="139">
        <v>4.21</v>
      </c>
      <c r="P48" s="139">
        <v>0</v>
      </c>
      <c r="Q48" s="139">
        <v>4.21</v>
      </c>
      <c r="R48" s="139">
        <v>0</v>
      </c>
      <c r="S48" s="139">
        <v>0</v>
      </c>
      <c r="T48" s="139">
        <v>4.21</v>
      </c>
      <c r="U48" s="139">
        <v>8606.6339999999964</v>
      </c>
    </row>
    <row r="49" spans="1:21" s="111" customFormat="1" ht="38.25" customHeight="1" x14ac:dyDescent="0.4">
      <c r="A49" s="313" t="s">
        <v>117</v>
      </c>
      <c r="B49" s="313"/>
      <c r="C49" s="141">
        <v>33799.636099999996</v>
      </c>
      <c r="D49" s="141">
        <v>84.03</v>
      </c>
      <c r="E49" s="141">
        <v>1111.76</v>
      </c>
      <c r="F49" s="141">
        <v>0</v>
      </c>
      <c r="G49" s="141">
        <v>0</v>
      </c>
      <c r="H49" s="141">
        <v>33883.666099999995</v>
      </c>
      <c r="I49" s="141">
        <v>269.12499999999994</v>
      </c>
      <c r="J49" s="141">
        <v>0.08</v>
      </c>
      <c r="K49" s="141">
        <v>219.13</v>
      </c>
      <c r="L49" s="141">
        <v>0</v>
      </c>
      <c r="M49" s="141">
        <v>0</v>
      </c>
      <c r="N49" s="141">
        <v>269.20499999999993</v>
      </c>
      <c r="O49" s="141">
        <v>254.46</v>
      </c>
      <c r="P49" s="141">
        <v>0.12</v>
      </c>
      <c r="Q49" s="141">
        <v>239.79999999999998</v>
      </c>
      <c r="R49" s="141">
        <v>0</v>
      </c>
      <c r="S49" s="141">
        <v>0</v>
      </c>
      <c r="T49" s="141">
        <v>254.58</v>
      </c>
      <c r="U49" s="141">
        <v>34407.451099999991</v>
      </c>
    </row>
    <row r="50" spans="1:21" s="145" customFormat="1" ht="38.25" customHeight="1" x14ac:dyDescent="0.4">
      <c r="A50" s="313" t="s">
        <v>118</v>
      </c>
      <c r="B50" s="313"/>
      <c r="C50" s="141">
        <v>71894.582099999985</v>
      </c>
      <c r="D50" s="141">
        <v>391.02</v>
      </c>
      <c r="E50" s="141">
        <v>2852.2960000000003</v>
      </c>
      <c r="F50" s="141">
        <v>0</v>
      </c>
      <c r="G50" s="141">
        <v>0</v>
      </c>
      <c r="H50" s="141">
        <v>72285.602099999989</v>
      </c>
      <c r="I50" s="141">
        <v>495.64499999999992</v>
      </c>
      <c r="J50" s="141">
        <v>0.08</v>
      </c>
      <c r="K50" s="141">
        <v>219.13</v>
      </c>
      <c r="L50" s="141">
        <v>0</v>
      </c>
      <c r="M50" s="141">
        <v>0</v>
      </c>
      <c r="N50" s="141">
        <v>495.72499999999991</v>
      </c>
      <c r="O50" s="141">
        <v>685.15</v>
      </c>
      <c r="P50" s="141">
        <v>52.8</v>
      </c>
      <c r="Q50" s="141">
        <v>684.15000000000009</v>
      </c>
      <c r="R50" s="141">
        <v>0</v>
      </c>
      <c r="S50" s="141">
        <v>0</v>
      </c>
      <c r="T50" s="141">
        <v>737.95</v>
      </c>
      <c r="U50" s="141">
        <v>73519.277099999978</v>
      </c>
    </row>
    <row r="51" spans="1:21" s="146" customFormat="1" ht="38.25" customHeight="1" x14ac:dyDescent="0.4">
      <c r="A51" s="313" t="s">
        <v>119</v>
      </c>
      <c r="B51" s="313"/>
      <c r="C51" s="141">
        <v>118934.59089999998</v>
      </c>
      <c r="D51" s="141">
        <v>459.43499999999995</v>
      </c>
      <c r="E51" s="141">
        <v>4330.7840000000006</v>
      </c>
      <c r="F51" s="141">
        <v>138.59</v>
      </c>
      <c r="G51" s="141">
        <v>765.56</v>
      </c>
      <c r="H51" s="141">
        <v>119255.43589999998</v>
      </c>
      <c r="I51" s="141">
        <v>10654.557999999999</v>
      </c>
      <c r="J51" s="141">
        <v>185.82999999999998</v>
      </c>
      <c r="K51" s="141">
        <v>2165.384</v>
      </c>
      <c r="L51" s="141">
        <v>0</v>
      </c>
      <c r="M51" s="141">
        <v>7.85</v>
      </c>
      <c r="N51" s="141">
        <v>10840.387999999999</v>
      </c>
      <c r="O51" s="141">
        <v>1645.1599999999999</v>
      </c>
      <c r="P51" s="141">
        <v>52.91</v>
      </c>
      <c r="Q51" s="141">
        <v>813.55000000000007</v>
      </c>
      <c r="R51" s="141">
        <v>21.470000000000002</v>
      </c>
      <c r="S51" s="141">
        <v>78.430000000000007</v>
      </c>
      <c r="T51" s="141">
        <v>1676.6</v>
      </c>
      <c r="U51" s="141">
        <v>131772.42389999999</v>
      </c>
    </row>
    <row r="52" spans="1:21" s="115" customFormat="1" ht="24.75" hidden="1" customHeight="1" x14ac:dyDescent="0.4">
      <c r="B52" s="265"/>
      <c r="C52" s="278" t="s">
        <v>54</v>
      </c>
      <c r="D52" s="278"/>
      <c r="E52" s="278"/>
      <c r="F52" s="278"/>
      <c r="G52" s="278"/>
      <c r="H52" s="118"/>
      <c r="I52" s="265"/>
      <c r="J52" s="265">
        <f>D51+J51+P51-F51-L51-R51</f>
        <v>538.11499999999978</v>
      </c>
      <c r="K52" s="265"/>
      <c r="L52" s="265"/>
      <c r="M52" s="265"/>
      <c r="N52" s="265"/>
      <c r="R52" s="265"/>
      <c r="U52" s="265"/>
    </row>
    <row r="53" spans="1:21" s="115" customFormat="1" ht="30" hidden="1" customHeight="1" x14ac:dyDescent="0.35">
      <c r="B53" s="265"/>
      <c r="C53" s="278" t="s">
        <v>55</v>
      </c>
      <c r="D53" s="278"/>
      <c r="E53" s="278"/>
      <c r="F53" s="278"/>
      <c r="G53" s="278"/>
      <c r="H53" s="119"/>
      <c r="I53" s="265"/>
      <c r="J53" s="265">
        <f>E51+K51+Q51-G51-M51-S51</f>
        <v>6457.8780000000006</v>
      </c>
      <c r="K53" s="265"/>
      <c r="L53" s="265"/>
      <c r="M53" s="265"/>
      <c r="N53" s="265"/>
      <c r="R53" s="265"/>
      <c r="T53" s="265"/>
    </row>
    <row r="54" spans="1:21" ht="33" hidden="1" customHeight="1" x14ac:dyDescent="0.5">
      <c r="C54" s="278" t="s">
        <v>56</v>
      </c>
      <c r="D54" s="278"/>
      <c r="E54" s="278"/>
      <c r="F54" s="278"/>
      <c r="G54" s="278"/>
      <c r="H54" s="119"/>
      <c r="I54" s="121"/>
      <c r="J54" s="265">
        <f>H51+N51+T51</f>
        <v>131772.42389999999</v>
      </c>
      <c r="K54" s="119"/>
      <c r="L54" s="119"/>
      <c r="M54" s="142" t="e">
        <f>#REF!+'dec-2021'!J54</f>
        <v>#REF!</v>
      </c>
      <c r="N54" s="119"/>
      <c r="P54" s="115"/>
      <c r="Q54" s="122"/>
      <c r="U54" s="122"/>
    </row>
    <row r="55" spans="1:21" ht="33" hidden="1" customHeight="1" x14ac:dyDescent="0.5">
      <c r="C55" s="120"/>
      <c r="D55" s="265"/>
      <c r="E55" s="265"/>
      <c r="F55" s="265"/>
      <c r="G55" s="265"/>
      <c r="H55" s="119"/>
      <c r="I55" s="121"/>
      <c r="J55" s="265"/>
      <c r="K55" s="119"/>
      <c r="L55" s="119"/>
      <c r="M55" s="143"/>
      <c r="N55" s="119"/>
      <c r="P55" s="115"/>
      <c r="Q55" s="122"/>
      <c r="U55" s="122"/>
    </row>
    <row r="56" spans="1:21" ht="33" hidden="1" customHeight="1" x14ac:dyDescent="0.5">
      <c r="C56" s="120"/>
      <c r="D56" s="265"/>
      <c r="E56" s="265"/>
      <c r="F56" s="265"/>
      <c r="G56" s="265"/>
      <c r="H56" s="119"/>
      <c r="I56" s="121"/>
      <c r="J56" s="265"/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s="152" customFormat="1" ht="37.5" hidden="1" customHeight="1" x14ac:dyDescent="0.45">
      <c r="B57" s="287" t="s">
        <v>57</v>
      </c>
      <c r="C57" s="287"/>
      <c r="D57" s="287"/>
      <c r="E57" s="287"/>
      <c r="F57" s="287"/>
      <c r="G57" s="153"/>
      <c r="H57" s="154"/>
      <c r="I57" s="155"/>
      <c r="J57" s="288"/>
      <c r="K57" s="286"/>
      <c r="L57" s="286"/>
      <c r="M57" s="169" t="e">
        <f>#REF!+'dec-2021'!J54</f>
        <v>#REF!</v>
      </c>
      <c r="N57" s="154"/>
      <c r="O57" s="154"/>
      <c r="P57" s="268"/>
      <c r="Q57" s="287" t="s">
        <v>58</v>
      </c>
      <c r="R57" s="287"/>
      <c r="S57" s="287"/>
      <c r="T57" s="287"/>
      <c r="U57" s="287"/>
    </row>
    <row r="58" spans="1:21" s="152" customFormat="1" ht="37.5" hidden="1" customHeight="1" x14ac:dyDescent="0.45">
      <c r="B58" s="287" t="s">
        <v>59</v>
      </c>
      <c r="C58" s="287"/>
      <c r="D58" s="287"/>
      <c r="E58" s="287"/>
      <c r="F58" s="287"/>
      <c r="G58" s="154"/>
      <c r="H58" s="153"/>
      <c r="I58" s="156"/>
      <c r="J58" s="157"/>
      <c r="K58" s="267"/>
      <c r="L58" s="157"/>
      <c r="M58" s="154"/>
      <c r="N58" s="153"/>
      <c r="O58" s="154"/>
      <c r="P58" s="268"/>
      <c r="Q58" s="287" t="s">
        <v>59</v>
      </c>
      <c r="R58" s="287"/>
      <c r="S58" s="287"/>
      <c r="T58" s="287"/>
      <c r="U58" s="287"/>
    </row>
    <row r="59" spans="1:21" s="152" customFormat="1" ht="37.5" hidden="1" customHeight="1" x14ac:dyDescent="0.45">
      <c r="I59" s="158"/>
      <c r="J59" s="286" t="s">
        <v>61</v>
      </c>
      <c r="K59" s="286"/>
      <c r="L59" s="286"/>
      <c r="M59" s="159" t="e">
        <f>#REF!+'dec-2021'!J54</f>
        <v>#REF!</v>
      </c>
      <c r="P59" s="160"/>
      <c r="Q59" s="160"/>
      <c r="R59" s="160"/>
      <c r="S59" s="161"/>
      <c r="T59" s="160"/>
      <c r="U59" s="160"/>
    </row>
    <row r="60" spans="1:21" s="152" customFormat="1" ht="37.5" hidden="1" customHeight="1" x14ac:dyDescent="0.45">
      <c r="G60" s="162"/>
      <c r="H60" s="159" t="e">
        <f>#REF!+'dec-2021'!J54</f>
        <v>#REF!</v>
      </c>
      <c r="I60" s="158"/>
      <c r="J60" s="286" t="s">
        <v>62</v>
      </c>
      <c r="K60" s="286"/>
      <c r="L60" s="286"/>
      <c r="M60" s="159" t="e">
        <f>#REF!+'dec-2021'!J54</f>
        <v>#REF!</v>
      </c>
      <c r="P60" s="160"/>
      <c r="Q60" s="160"/>
      <c r="R60" s="160"/>
      <c r="S60" s="161"/>
      <c r="T60" s="160"/>
      <c r="U60" s="160"/>
    </row>
    <row r="61" spans="1:21" hidden="1" x14ac:dyDescent="0.35"/>
    <row r="62" spans="1:21" hidden="1" x14ac:dyDescent="0.35">
      <c r="H62" s="130"/>
      <c r="I62" s="131"/>
      <c r="J62" s="130"/>
    </row>
    <row r="63" spans="1:21" hidden="1" x14ac:dyDescent="0.35">
      <c r="H63" s="130"/>
      <c r="I63" s="131"/>
      <c r="J63" s="130"/>
    </row>
    <row r="64" spans="1:21" ht="18" customHeight="1" x14ac:dyDescent="0.35">
      <c r="H64" s="130"/>
      <c r="I64" s="131"/>
      <c r="J64" s="130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8:F58"/>
    <mergeCell ref="Q58:U58"/>
    <mergeCell ref="Q57:U57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59:L59"/>
    <mergeCell ref="J60:L60"/>
    <mergeCell ref="C52:G52"/>
    <mergeCell ref="C53:G53"/>
    <mergeCell ref="C54:G54"/>
    <mergeCell ref="B57:F57"/>
    <mergeCell ref="J57:L57"/>
  </mergeCells>
  <pageMargins left="0.7" right="0.7" top="0.75" bottom="0.75" header="0.3" footer="0.3"/>
  <pageSetup paperSize="9" scale="15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view="pageBreakPreview" zoomScale="40" zoomScaleNormal="55" zoomScaleSheetLayoutView="40" workbookViewId="0">
      <selection activeCell="K16" sqref="K16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3" width="25.42578125" style="107" customWidth="1"/>
    <col min="14" max="14" width="28.7109375" style="107" customWidth="1"/>
    <col min="15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157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53" t="s">
        <v>122</v>
      </c>
      <c r="B4" s="355" t="s">
        <v>121</v>
      </c>
      <c r="C4" s="358" t="s">
        <v>131</v>
      </c>
      <c r="D4" s="359"/>
      <c r="E4" s="359"/>
      <c r="F4" s="359"/>
      <c r="G4" s="359"/>
      <c r="H4" s="359"/>
      <c r="I4" s="358" t="s">
        <v>146</v>
      </c>
      <c r="J4" s="359"/>
      <c r="K4" s="359"/>
      <c r="L4" s="359"/>
      <c r="M4" s="359"/>
      <c r="N4" s="359"/>
      <c r="O4" s="358" t="s">
        <v>147</v>
      </c>
      <c r="P4" s="359"/>
      <c r="Q4" s="359"/>
      <c r="R4" s="359"/>
      <c r="S4" s="359"/>
      <c r="T4" s="359"/>
      <c r="U4" s="270"/>
    </row>
    <row r="5" spans="1:21" s="108" customFormat="1" ht="54.75" customHeight="1" x14ac:dyDescent="0.25">
      <c r="A5" s="354"/>
      <c r="B5" s="356"/>
      <c r="C5" s="349" t="s">
        <v>6</v>
      </c>
      <c r="D5" s="351" t="s">
        <v>127</v>
      </c>
      <c r="E5" s="352"/>
      <c r="F5" s="351" t="s">
        <v>126</v>
      </c>
      <c r="G5" s="352"/>
      <c r="H5" s="349" t="s">
        <v>9</v>
      </c>
      <c r="I5" s="349" t="s">
        <v>6</v>
      </c>
      <c r="J5" s="351" t="s">
        <v>127</v>
      </c>
      <c r="K5" s="352"/>
      <c r="L5" s="351" t="s">
        <v>126</v>
      </c>
      <c r="M5" s="352"/>
      <c r="N5" s="349" t="s">
        <v>9</v>
      </c>
      <c r="O5" s="349" t="s">
        <v>6</v>
      </c>
      <c r="P5" s="351" t="s">
        <v>127</v>
      </c>
      <c r="Q5" s="352"/>
      <c r="R5" s="351" t="s">
        <v>126</v>
      </c>
      <c r="S5" s="352"/>
      <c r="T5" s="349" t="s">
        <v>9</v>
      </c>
      <c r="U5" s="355" t="s">
        <v>128</v>
      </c>
    </row>
    <row r="6" spans="1:21" s="108" customFormat="1" ht="38.25" customHeight="1" x14ac:dyDescent="0.25">
      <c r="A6" s="354"/>
      <c r="B6" s="357"/>
      <c r="C6" s="350"/>
      <c r="D6" s="231" t="s">
        <v>124</v>
      </c>
      <c r="E6" s="231" t="s">
        <v>125</v>
      </c>
      <c r="F6" s="231" t="s">
        <v>124</v>
      </c>
      <c r="G6" s="231" t="s">
        <v>125</v>
      </c>
      <c r="H6" s="350"/>
      <c r="I6" s="350"/>
      <c r="J6" s="231" t="s">
        <v>124</v>
      </c>
      <c r="K6" s="231" t="s">
        <v>125</v>
      </c>
      <c r="L6" s="231" t="s">
        <v>124</v>
      </c>
      <c r="M6" s="231" t="s">
        <v>125</v>
      </c>
      <c r="N6" s="350"/>
      <c r="O6" s="350"/>
      <c r="P6" s="231" t="s">
        <v>124</v>
      </c>
      <c r="Q6" s="231" t="s">
        <v>125</v>
      </c>
      <c r="R6" s="231" t="s">
        <v>124</v>
      </c>
      <c r="S6" s="231" t="s">
        <v>125</v>
      </c>
      <c r="T6" s="350"/>
      <c r="U6" s="357"/>
    </row>
    <row r="7" spans="1:21" ht="38.25" customHeight="1" x14ac:dyDescent="0.35">
      <c r="A7" s="230">
        <v>1</v>
      </c>
      <c r="B7" s="231" t="s">
        <v>78</v>
      </c>
      <c r="C7" s="139">
        <v>7.179999999999982</v>
      </c>
      <c r="D7" s="139">
        <v>0</v>
      </c>
      <c r="E7" s="139">
        <v>0</v>
      </c>
      <c r="F7" s="139">
        <v>0</v>
      </c>
      <c r="G7" s="139">
        <v>82.86</v>
      </c>
      <c r="H7" s="139">
        <v>7.179999999999982</v>
      </c>
      <c r="I7" s="139">
        <v>696.89599999999973</v>
      </c>
      <c r="J7" s="139">
        <v>3.3259999999999996</v>
      </c>
      <c r="K7" s="139">
        <v>116.00499999999998</v>
      </c>
      <c r="L7" s="139">
        <v>0</v>
      </c>
      <c r="M7" s="139">
        <v>0</v>
      </c>
      <c r="N7" s="139">
        <v>700.22199999999975</v>
      </c>
      <c r="O7" s="139">
        <v>8.436000000000007</v>
      </c>
      <c r="P7" s="139">
        <v>0</v>
      </c>
      <c r="Q7" s="139">
        <v>0</v>
      </c>
      <c r="R7" s="139">
        <v>0</v>
      </c>
      <c r="S7" s="139">
        <v>1.01</v>
      </c>
      <c r="T7" s="139">
        <v>8.436000000000007</v>
      </c>
      <c r="U7" s="139">
        <v>715.83799999999974</v>
      </c>
    </row>
    <row r="8" spans="1:21" ht="38.25" customHeight="1" x14ac:dyDescent="0.35">
      <c r="A8" s="230">
        <v>2</v>
      </c>
      <c r="B8" s="231" t="s">
        <v>79</v>
      </c>
      <c r="C8" s="139">
        <v>265.41999999999996</v>
      </c>
      <c r="D8" s="139">
        <v>0.03</v>
      </c>
      <c r="E8" s="139">
        <v>0.06</v>
      </c>
      <c r="F8" s="139">
        <v>0</v>
      </c>
      <c r="G8" s="139">
        <v>0</v>
      </c>
      <c r="H8" s="139">
        <v>265.44999999999993</v>
      </c>
      <c r="I8" s="139">
        <v>386.3060000000001</v>
      </c>
      <c r="J8" s="139">
        <v>3.9649999999999999</v>
      </c>
      <c r="K8" s="139">
        <v>78.290999999999997</v>
      </c>
      <c r="L8" s="139">
        <v>0</v>
      </c>
      <c r="M8" s="139">
        <v>0</v>
      </c>
      <c r="N8" s="139">
        <v>390.27100000000007</v>
      </c>
      <c r="O8" s="139">
        <v>66.290000000000006</v>
      </c>
      <c r="P8" s="139">
        <v>0</v>
      </c>
      <c r="Q8" s="139">
        <v>0</v>
      </c>
      <c r="R8" s="139">
        <v>0</v>
      </c>
      <c r="S8" s="139">
        <v>0</v>
      </c>
      <c r="T8" s="139">
        <v>66.290000000000006</v>
      </c>
      <c r="U8" s="139">
        <v>722.01099999999997</v>
      </c>
    </row>
    <row r="9" spans="1:21" ht="38.25" customHeight="1" x14ac:dyDescent="0.35">
      <c r="A9" s="230">
        <v>3</v>
      </c>
      <c r="B9" s="231" t="s">
        <v>80</v>
      </c>
      <c r="C9" s="139">
        <v>209.16</v>
      </c>
      <c r="D9" s="139">
        <v>0</v>
      </c>
      <c r="E9" s="139">
        <v>0</v>
      </c>
      <c r="F9" s="139">
        <v>0</v>
      </c>
      <c r="G9" s="139">
        <v>0</v>
      </c>
      <c r="H9" s="139">
        <v>209.16</v>
      </c>
      <c r="I9" s="139">
        <v>888.34800000000007</v>
      </c>
      <c r="J9" s="139">
        <v>11.54</v>
      </c>
      <c r="K9" s="139">
        <v>143.33999999999997</v>
      </c>
      <c r="L9" s="139">
        <v>0</v>
      </c>
      <c r="M9" s="139">
        <v>0</v>
      </c>
      <c r="N9" s="139">
        <v>899.88800000000003</v>
      </c>
      <c r="O9" s="139">
        <v>44.739999999999995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44.739999999999995</v>
      </c>
      <c r="U9" s="139">
        <v>1153.788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353.0739999999999</v>
      </c>
      <c r="J10" s="139">
        <v>9.2690000000000001</v>
      </c>
      <c r="K10" s="139">
        <v>19.968000000000004</v>
      </c>
      <c r="L10" s="139">
        <v>0</v>
      </c>
      <c r="M10" s="139">
        <v>0</v>
      </c>
      <c r="N10" s="139">
        <v>362.3429999999999</v>
      </c>
      <c r="O10" s="139">
        <v>0.20000000000000007</v>
      </c>
      <c r="P10" s="139">
        <v>0</v>
      </c>
      <c r="Q10" s="139">
        <v>0</v>
      </c>
      <c r="R10" s="139">
        <v>0</v>
      </c>
      <c r="S10" s="139">
        <v>0</v>
      </c>
      <c r="T10" s="139">
        <v>0.20000000000000007</v>
      </c>
      <c r="U10" s="139">
        <v>362.54299999999989</v>
      </c>
    </row>
    <row r="11" spans="1:21" s="111" customFormat="1" ht="38.25" customHeight="1" x14ac:dyDescent="0.4">
      <c r="A11" s="308" t="s">
        <v>82</v>
      </c>
      <c r="B11" s="309"/>
      <c r="C11" s="141">
        <v>481.76</v>
      </c>
      <c r="D11" s="141">
        <v>0.03</v>
      </c>
      <c r="E11" s="141">
        <v>0.06</v>
      </c>
      <c r="F11" s="141">
        <v>0</v>
      </c>
      <c r="G11" s="141">
        <v>82.86</v>
      </c>
      <c r="H11" s="141">
        <v>481.78999999999996</v>
      </c>
      <c r="I11" s="141">
        <v>2324.6239999999998</v>
      </c>
      <c r="J11" s="141">
        <v>28.1</v>
      </c>
      <c r="K11" s="141">
        <v>357.60399999999998</v>
      </c>
      <c r="L11" s="141">
        <v>0</v>
      </c>
      <c r="M11" s="141">
        <v>0</v>
      </c>
      <c r="N11" s="141">
        <v>2352.7239999999997</v>
      </c>
      <c r="O11" s="141">
        <v>119.66600000000001</v>
      </c>
      <c r="P11" s="141">
        <v>0</v>
      </c>
      <c r="Q11" s="141">
        <v>0</v>
      </c>
      <c r="R11" s="141">
        <v>0</v>
      </c>
      <c r="S11" s="141">
        <v>1.01</v>
      </c>
      <c r="T11" s="141">
        <v>119.66600000000001</v>
      </c>
      <c r="U11" s="141">
        <v>2954.1799999999994</v>
      </c>
    </row>
    <row r="12" spans="1:21" ht="38.25" customHeight="1" x14ac:dyDescent="0.35">
      <c r="A12" s="171">
        <v>4</v>
      </c>
      <c r="B12" s="231" t="s">
        <v>83</v>
      </c>
      <c r="C12" s="139">
        <v>141.9999999999996</v>
      </c>
      <c r="D12" s="139">
        <v>0</v>
      </c>
      <c r="E12" s="139">
        <v>0</v>
      </c>
      <c r="F12" s="139">
        <v>119.82</v>
      </c>
      <c r="G12" s="139">
        <v>333.13</v>
      </c>
      <c r="H12" s="139">
        <v>22.179999999999609</v>
      </c>
      <c r="I12" s="139">
        <v>1156.2449999999997</v>
      </c>
      <c r="J12" s="221">
        <v>117.91</v>
      </c>
      <c r="K12" s="139">
        <v>363.40999999999997</v>
      </c>
      <c r="L12" s="139">
        <v>0</v>
      </c>
      <c r="M12" s="139">
        <v>0</v>
      </c>
      <c r="N12" s="139">
        <v>1274.1549999999997</v>
      </c>
      <c r="O12" s="139">
        <v>22.840000000000011</v>
      </c>
      <c r="P12" s="139">
        <v>0</v>
      </c>
      <c r="Q12" s="139">
        <v>2.11</v>
      </c>
      <c r="R12" s="139">
        <v>20.87</v>
      </c>
      <c r="S12" s="139">
        <v>36.99</v>
      </c>
      <c r="T12" s="139">
        <v>1.9700000000000095</v>
      </c>
      <c r="U12" s="139">
        <v>1298.3049999999994</v>
      </c>
    </row>
    <row r="13" spans="1:21" ht="38.25" customHeight="1" x14ac:dyDescent="0.35">
      <c r="A13" s="171">
        <v>5</v>
      </c>
      <c r="B13" s="231" t="s">
        <v>84</v>
      </c>
      <c r="C13" s="139">
        <v>312.23000000000013</v>
      </c>
      <c r="D13" s="139">
        <v>0</v>
      </c>
      <c r="E13" s="139">
        <v>0</v>
      </c>
      <c r="F13" s="139">
        <v>0</v>
      </c>
      <c r="G13" s="139">
        <v>0</v>
      </c>
      <c r="H13" s="139">
        <v>312.23000000000013</v>
      </c>
      <c r="I13" s="139">
        <v>542.29200000000014</v>
      </c>
      <c r="J13" s="221">
        <v>1.82</v>
      </c>
      <c r="K13" s="139">
        <v>16.28</v>
      </c>
      <c r="L13" s="139">
        <v>0</v>
      </c>
      <c r="M13" s="139">
        <v>0.7</v>
      </c>
      <c r="N13" s="139">
        <v>544.11200000000019</v>
      </c>
      <c r="O13" s="139">
        <v>68.39</v>
      </c>
      <c r="P13" s="139">
        <v>0</v>
      </c>
      <c r="Q13" s="139">
        <v>0</v>
      </c>
      <c r="R13" s="139">
        <v>0</v>
      </c>
      <c r="S13" s="139">
        <v>0</v>
      </c>
      <c r="T13" s="139">
        <v>68.39</v>
      </c>
      <c r="U13" s="139">
        <v>924.73200000000031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v>1216.4399999999994</v>
      </c>
      <c r="D14" s="139">
        <v>0</v>
      </c>
      <c r="E14" s="139">
        <v>0</v>
      </c>
      <c r="F14" s="139">
        <v>0</v>
      </c>
      <c r="G14" s="139">
        <v>0</v>
      </c>
      <c r="H14" s="139">
        <v>1216.4399999999994</v>
      </c>
      <c r="I14" s="139">
        <v>897.36800000000017</v>
      </c>
      <c r="J14" s="221">
        <v>3.94</v>
      </c>
      <c r="K14" s="139">
        <v>36.519999999999996</v>
      </c>
      <c r="L14" s="139">
        <v>0</v>
      </c>
      <c r="M14" s="139">
        <v>0</v>
      </c>
      <c r="N14" s="139">
        <v>901.30800000000022</v>
      </c>
      <c r="O14" s="139">
        <v>61.329999999999991</v>
      </c>
      <c r="P14" s="139">
        <v>0</v>
      </c>
      <c r="Q14" s="139">
        <v>0</v>
      </c>
      <c r="R14" s="139">
        <v>0</v>
      </c>
      <c r="S14" s="139">
        <v>0</v>
      </c>
      <c r="T14" s="139">
        <v>61.329999999999991</v>
      </c>
      <c r="U14" s="139">
        <v>2179.0779999999995</v>
      </c>
    </row>
    <row r="15" spans="1:21" s="111" customFormat="1" ht="38.25" customHeight="1" x14ac:dyDescent="0.4">
      <c r="A15" s="308" t="s">
        <v>86</v>
      </c>
      <c r="B15" s="309"/>
      <c r="C15" s="141">
        <v>1670.6699999999992</v>
      </c>
      <c r="D15" s="141">
        <v>0</v>
      </c>
      <c r="E15" s="141">
        <v>0</v>
      </c>
      <c r="F15" s="141">
        <v>119.82</v>
      </c>
      <c r="G15" s="141">
        <v>333.13</v>
      </c>
      <c r="H15" s="141">
        <v>1550.849999999999</v>
      </c>
      <c r="I15" s="141">
        <v>2595.9049999999997</v>
      </c>
      <c r="J15" s="141">
        <v>123.66999999999999</v>
      </c>
      <c r="K15" s="141">
        <v>416.20999999999992</v>
      </c>
      <c r="L15" s="141">
        <v>0</v>
      </c>
      <c r="M15" s="141">
        <v>0.7</v>
      </c>
      <c r="N15" s="141">
        <v>2719.5749999999998</v>
      </c>
      <c r="O15" s="141">
        <v>152.56</v>
      </c>
      <c r="P15" s="141">
        <v>0</v>
      </c>
      <c r="Q15" s="141">
        <v>2.11</v>
      </c>
      <c r="R15" s="141">
        <v>20.87</v>
      </c>
      <c r="S15" s="141">
        <v>36.99</v>
      </c>
      <c r="T15" s="141">
        <v>131.69</v>
      </c>
      <c r="U15" s="141">
        <v>4402.1149999999998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v>775.10400000000038</v>
      </c>
      <c r="D16" s="139">
        <v>3.29</v>
      </c>
      <c r="E16" s="139">
        <v>9.5100000000000016</v>
      </c>
      <c r="F16" s="139">
        <v>18.77</v>
      </c>
      <c r="G16" s="139">
        <v>243.73</v>
      </c>
      <c r="H16" s="139">
        <v>759.62400000000036</v>
      </c>
      <c r="I16" s="139">
        <v>575.27600000000007</v>
      </c>
      <c r="J16" s="139">
        <v>1.21</v>
      </c>
      <c r="K16" s="139">
        <v>277.43999999999994</v>
      </c>
      <c r="L16" s="139">
        <v>0</v>
      </c>
      <c r="M16" s="139">
        <v>0</v>
      </c>
      <c r="N16" s="139">
        <v>576.4860000000001</v>
      </c>
      <c r="O16" s="139">
        <v>177.44200000000004</v>
      </c>
      <c r="P16" s="139">
        <v>0</v>
      </c>
      <c r="Q16" s="139">
        <v>0.03</v>
      </c>
      <c r="R16" s="139">
        <v>0</v>
      </c>
      <c r="S16" s="139">
        <v>0</v>
      </c>
      <c r="T16" s="139">
        <v>177.44200000000004</v>
      </c>
      <c r="U16" s="139">
        <v>1513.5520000000006</v>
      </c>
    </row>
    <row r="17" spans="1:21" ht="38.25" customHeight="1" x14ac:dyDescent="0.35">
      <c r="A17" s="171">
        <v>9</v>
      </c>
      <c r="B17" s="231" t="s">
        <v>120</v>
      </c>
      <c r="C17" s="139">
        <v>2.6759999999999478</v>
      </c>
      <c r="D17" s="139">
        <v>0</v>
      </c>
      <c r="E17" s="139">
        <v>0</v>
      </c>
      <c r="F17" s="139">
        <v>0</v>
      </c>
      <c r="G17" s="139">
        <v>3.74</v>
      </c>
      <c r="H17" s="139">
        <v>2.6759999999999478</v>
      </c>
      <c r="I17" s="139">
        <v>583.9</v>
      </c>
      <c r="J17" s="139">
        <v>2.59</v>
      </c>
      <c r="K17" s="139">
        <v>74.740000000000009</v>
      </c>
      <c r="L17" s="139">
        <v>0</v>
      </c>
      <c r="M17" s="139">
        <v>0</v>
      </c>
      <c r="N17" s="139">
        <v>586.49</v>
      </c>
      <c r="O17" s="139">
        <v>1.9500000000000002</v>
      </c>
      <c r="P17" s="139">
        <v>0</v>
      </c>
      <c r="Q17" s="139">
        <v>1.3399999999999999</v>
      </c>
      <c r="R17" s="139">
        <v>0</v>
      </c>
      <c r="S17" s="139">
        <v>5.72</v>
      </c>
      <c r="T17" s="139">
        <v>1.9500000000000002</v>
      </c>
      <c r="U17" s="139">
        <v>591.11599999999999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v>90.266000000000147</v>
      </c>
      <c r="D18" s="139">
        <v>0.05</v>
      </c>
      <c r="E18" s="139">
        <v>1.4000000000000001</v>
      </c>
      <c r="F18" s="139">
        <v>0</v>
      </c>
      <c r="G18" s="139">
        <v>46.86</v>
      </c>
      <c r="H18" s="139">
        <v>90.316000000000145</v>
      </c>
      <c r="I18" s="139">
        <v>618.48699999999997</v>
      </c>
      <c r="J18" s="139">
        <v>0.32</v>
      </c>
      <c r="K18" s="139">
        <v>132.07999999999998</v>
      </c>
      <c r="L18" s="139">
        <v>0</v>
      </c>
      <c r="M18" s="139">
        <v>0.34</v>
      </c>
      <c r="N18" s="139">
        <v>618.80700000000002</v>
      </c>
      <c r="O18" s="139">
        <v>35.689999999999991</v>
      </c>
      <c r="P18" s="139">
        <v>0</v>
      </c>
      <c r="Q18" s="139">
        <v>0.89999999999999991</v>
      </c>
      <c r="R18" s="139">
        <v>0</v>
      </c>
      <c r="S18" s="139">
        <v>4.08</v>
      </c>
      <c r="T18" s="139">
        <v>35.689999999999991</v>
      </c>
      <c r="U18" s="139">
        <v>744.8130000000001</v>
      </c>
    </row>
    <row r="19" spans="1:21" s="111" customFormat="1" ht="38.25" customHeight="1" x14ac:dyDescent="0.4">
      <c r="A19" s="308" t="s">
        <v>89</v>
      </c>
      <c r="B19" s="309"/>
      <c r="C19" s="141">
        <v>868.0460000000005</v>
      </c>
      <c r="D19" s="141">
        <v>3.34</v>
      </c>
      <c r="E19" s="141">
        <v>10.910000000000002</v>
      </c>
      <c r="F19" s="141">
        <v>18.77</v>
      </c>
      <c r="G19" s="141">
        <v>294.33</v>
      </c>
      <c r="H19" s="141">
        <v>852.61600000000044</v>
      </c>
      <c r="I19" s="141">
        <v>1777.663</v>
      </c>
      <c r="J19" s="141">
        <v>4.12</v>
      </c>
      <c r="K19" s="141">
        <v>484.25999999999993</v>
      </c>
      <c r="L19" s="141">
        <v>0</v>
      </c>
      <c r="M19" s="141">
        <v>0.34</v>
      </c>
      <c r="N19" s="141">
        <v>1781.7830000000001</v>
      </c>
      <c r="O19" s="141">
        <v>215.08200000000002</v>
      </c>
      <c r="P19" s="141">
        <v>0</v>
      </c>
      <c r="Q19" s="141">
        <v>2.2699999999999996</v>
      </c>
      <c r="R19" s="141">
        <v>0</v>
      </c>
      <c r="S19" s="141">
        <v>9.8000000000000007</v>
      </c>
      <c r="T19" s="141">
        <v>215.08200000000002</v>
      </c>
      <c r="U19" s="141">
        <v>2849.4810000000007</v>
      </c>
    </row>
    <row r="20" spans="1:21" ht="38.25" customHeight="1" x14ac:dyDescent="0.35">
      <c r="A20" s="171">
        <v>8</v>
      </c>
      <c r="B20" s="231" t="s">
        <v>91</v>
      </c>
      <c r="C20" s="139">
        <v>607.27999999999986</v>
      </c>
      <c r="D20" s="139">
        <v>0.15</v>
      </c>
      <c r="E20" s="139">
        <v>1.77</v>
      </c>
      <c r="F20" s="139">
        <v>0</v>
      </c>
      <c r="G20" s="139">
        <v>24.91</v>
      </c>
      <c r="H20" s="139">
        <v>607.42999999999984</v>
      </c>
      <c r="I20" s="139">
        <v>734.3480000000003</v>
      </c>
      <c r="J20" s="139">
        <v>1.54</v>
      </c>
      <c r="K20" s="139">
        <v>337.74</v>
      </c>
      <c r="L20" s="139">
        <v>0</v>
      </c>
      <c r="M20" s="139">
        <v>1.04</v>
      </c>
      <c r="N20" s="139">
        <v>735.88800000000026</v>
      </c>
      <c r="O20" s="139">
        <v>37.580000000000005</v>
      </c>
      <c r="P20" s="139">
        <v>0</v>
      </c>
      <c r="Q20" s="139">
        <v>0</v>
      </c>
      <c r="R20" s="139">
        <v>0</v>
      </c>
      <c r="S20" s="139">
        <v>2.77</v>
      </c>
      <c r="T20" s="139">
        <v>37.580000000000005</v>
      </c>
      <c r="U20" s="139">
        <v>1380.8980000000001</v>
      </c>
    </row>
    <row r="21" spans="1:21" ht="38.25" customHeight="1" x14ac:dyDescent="0.35">
      <c r="A21" s="171">
        <v>9</v>
      </c>
      <c r="B21" s="231" t="s">
        <v>90</v>
      </c>
      <c r="C21" s="139">
        <v>2.0700000000000003</v>
      </c>
      <c r="D21" s="139">
        <v>0</v>
      </c>
      <c r="E21" s="139">
        <v>0</v>
      </c>
      <c r="F21" s="139">
        <v>0</v>
      </c>
      <c r="G21" s="139">
        <v>20.440000000000001</v>
      </c>
      <c r="H21" s="139">
        <v>2.0700000000000003</v>
      </c>
      <c r="I21" s="139">
        <v>458.86700000000008</v>
      </c>
      <c r="J21" s="139">
        <v>1.39</v>
      </c>
      <c r="K21" s="139">
        <v>62.14</v>
      </c>
      <c r="L21" s="139">
        <v>0</v>
      </c>
      <c r="M21" s="139">
        <v>0</v>
      </c>
      <c r="N21" s="139">
        <v>460.25700000000006</v>
      </c>
      <c r="O21" s="139">
        <v>18.889999999999997</v>
      </c>
      <c r="P21" s="139">
        <v>0</v>
      </c>
      <c r="Q21" s="139">
        <v>0.12</v>
      </c>
      <c r="R21" s="139">
        <v>0.6</v>
      </c>
      <c r="S21" s="139">
        <v>1.2</v>
      </c>
      <c r="T21" s="139">
        <v>18.289999999999996</v>
      </c>
      <c r="U21" s="139">
        <v>480.61700000000008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v>22.430000000000021</v>
      </c>
      <c r="D22" s="139">
        <v>0</v>
      </c>
      <c r="E22" s="139">
        <v>0</v>
      </c>
      <c r="F22" s="139">
        <v>0</v>
      </c>
      <c r="G22" s="139">
        <v>0</v>
      </c>
      <c r="H22" s="139">
        <v>22.430000000000021</v>
      </c>
      <c r="I22" s="139">
        <v>697.6500000000002</v>
      </c>
      <c r="J22" s="139">
        <v>0.27</v>
      </c>
      <c r="K22" s="139">
        <v>9.0299999999999976</v>
      </c>
      <c r="L22" s="139">
        <v>0</v>
      </c>
      <c r="M22" s="139">
        <v>0.08</v>
      </c>
      <c r="N22" s="139">
        <v>697.92000000000019</v>
      </c>
      <c r="O22" s="139">
        <v>0.60000000000000098</v>
      </c>
      <c r="P22" s="139">
        <v>0</v>
      </c>
      <c r="Q22" s="139">
        <v>0</v>
      </c>
      <c r="R22" s="139">
        <v>0</v>
      </c>
      <c r="S22" s="139">
        <v>0</v>
      </c>
      <c r="T22" s="139">
        <v>0.60000000000000098</v>
      </c>
      <c r="U22" s="139">
        <v>720.95000000000027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v>430.64</v>
      </c>
      <c r="D23" s="139">
        <v>0</v>
      </c>
      <c r="E23" s="139">
        <v>3.4</v>
      </c>
      <c r="F23" s="139">
        <v>0</v>
      </c>
      <c r="G23" s="139">
        <v>0</v>
      </c>
      <c r="H23" s="139">
        <v>430.64</v>
      </c>
      <c r="I23" s="139">
        <v>130.41499999999999</v>
      </c>
      <c r="J23" s="139">
        <v>7.42</v>
      </c>
      <c r="K23" s="139">
        <v>35.950000000000003</v>
      </c>
      <c r="L23" s="139">
        <v>0</v>
      </c>
      <c r="M23" s="139">
        <v>0</v>
      </c>
      <c r="N23" s="139">
        <v>137.83499999999998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590.97499999999991</v>
      </c>
    </row>
    <row r="24" spans="1:21" s="111" customFormat="1" ht="38.25" customHeight="1" x14ac:dyDescent="0.4">
      <c r="A24" s="313" t="s">
        <v>94</v>
      </c>
      <c r="B24" s="313"/>
      <c r="C24" s="141">
        <v>1062.42</v>
      </c>
      <c r="D24" s="141">
        <v>0.15</v>
      </c>
      <c r="E24" s="141">
        <v>5.17</v>
      </c>
      <c r="F24" s="141">
        <v>0</v>
      </c>
      <c r="G24" s="141">
        <v>45.35</v>
      </c>
      <c r="H24" s="141">
        <v>1062.57</v>
      </c>
      <c r="I24" s="141">
        <v>2021.2800000000007</v>
      </c>
      <c r="J24" s="141">
        <v>10.62</v>
      </c>
      <c r="K24" s="141">
        <v>444.85999999999996</v>
      </c>
      <c r="L24" s="141">
        <v>0</v>
      </c>
      <c r="M24" s="141">
        <v>1.1200000000000001</v>
      </c>
      <c r="N24" s="141">
        <v>2031.9000000000005</v>
      </c>
      <c r="O24" s="141">
        <v>79.569999999999993</v>
      </c>
      <c r="P24" s="141">
        <v>0</v>
      </c>
      <c r="Q24" s="141">
        <v>0.12</v>
      </c>
      <c r="R24" s="141">
        <v>0.6</v>
      </c>
      <c r="S24" s="141">
        <v>3.9699999999999998</v>
      </c>
      <c r="T24" s="141">
        <v>78.97</v>
      </c>
      <c r="U24" s="141">
        <v>3173.4400000000005</v>
      </c>
    </row>
    <row r="25" spans="1:21" s="145" customFormat="1" ht="38.25" customHeight="1" x14ac:dyDescent="0.4">
      <c r="A25" s="308" t="s">
        <v>95</v>
      </c>
      <c r="B25" s="309"/>
      <c r="C25" s="141">
        <v>4082.8959999999997</v>
      </c>
      <c r="D25" s="141">
        <v>3.5199999999999996</v>
      </c>
      <c r="E25" s="141">
        <v>16.14</v>
      </c>
      <c r="F25" s="141">
        <v>138.59</v>
      </c>
      <c r="G25" s="141">
        <v>755.67</v>
      </c>
      <c r="H25" s="141">
        <v>3947.8259999999991</v>
      </c>
      <c r="I25" s="141">
        <v>8719.4719999999998</v>
      </c>
      <c r="J25" s="141">
        <v>166.51</v>
      </c>
      <c r="K25" s="141">
        <v>1702.934</v>
      </c>
      <c r="L25" s="141">
        <v>0</v>
      </c>
      <c r="M25" s="141">
        <v>2.16</v>
      </c>
      <c r="N25" s="141">
        <v>8885.982</v>
      </c>
      <c r="O25" s="141">
        <v>566.87800000000004</v>
      </c>
      <c r="P25" s="141">
        <v>0</v>
      </c>
      <c r="Q25" s="141">
        <v>4.5</v>
      </c>
      <c r="R25" s="141">
        <v>21.470000000000002</v>
      </c>
      <c r="S25" s="141">
        <v>51.77</v>
      </c>
      <c r="T25" s="141">
        <v>545.40800000000002</v>
      </c>
      <c r="U25" s="141">
        <v>13379.216</v>
      </c>
    </row>
    <row r="26" spans="1:21" ht="38.25" customHeight="1" x14ac:dyDescent="0.35">
      <c r="A26" s="171">
        <v>15</v>
      </c>
      <c r="B26" s="231" t="s">
        <v>96</v>
      </c>
      <c r="C26" s="139">
        <v>1603.75</v>
      </c>
      <c r="D26" s="139">
        <v>2.4900000000000002</v>
      </c>
      <c r="E26" s="139">
        <v>53.259999999999991</v>
      </c>
      <c r="F26" s="139">
        <v>0</v>
      </c>
      <c r="G26" s="139">
        <v>0</v>
      </c>
      <c r="H26" s="139">
        <v>1606.24</v>
      </c>
      <c r="I26" s="139">
        <v>102.97999999999999</v>
      </c>
      <c r="J26" s="139">
        <v>15.96</v>
      </c>
      <c r="K26" s="139">
        <v>51.61</v>
      </c>
      <c r="L26" s="139">
        <v>0</v>
      </c>
      <c r="M26" s="139">
        <v>0</v>
      </c>
      <c r="N26" s="139">
        <v>118.94</v>
      </c>
      <c r="O26" s="139">
        <v>16.259999999999998</v>
      </c>
      <c r="P26" s="139">
        <v>0.11</v>
      </c>
      <c r="Q26" s="139">
        <v>0.26</v>
      </c>
      <c r="R26" s="139">
        <v>0</v>
      </c>
      <c r="S26" s="139">
        <v>0</v>
      </c>
      <c r="T26" s="139">
        <v>16.369999999999997</v>
      </c>
      <c r="U26" s="139">
        <v>1741.55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v>5675.6750000000047</v>
      </c>
      <c r="D27" s="139">
        <v>1.99</v>
      </c>
      <c r="E27" s="139">
        <v>100.96</v>
      </c>
      <c r="F27" s="139">
        <v>0</v>
      </c>
      <c r="G27" s="139">
        <v>0</v>
      </c>
      <c r="H27" s="139">
        <v>5677.6650000000045</v>
      </c>
      <c r="I27" s="139">
        <v>620.13799999999992</v>
      </c>
      <c r="J27" s="139">
        <v>2.75</v>
      </c>
      <c r="K27" s="139">
        <v>28.700000000000003</v>
      </c>
      <c r="L27" s="139">
        <v>0</v>
      </c>
      <c r="M27" s="139">
        <v>0</v>
      </c>
      <c r="N27" s="139">
        <v>622.88799999999992</v>
      </c>
      <c r="O27" s="139">
        <v>33.760000000000005</v>
      </c>
      <c r="P27" s="139">
        <v>0</v>
      </c>
      <c r="Q27" s="139">
        <v>0.27</v>
      </c>
      <c r="R27" s="139">
        <v>0</v>
      </c>
      <c r="S27" s="139">
        <v>0</v>
      </c>
      <c r="T27" s="139">
        <v>33.760000000000005</v>
      </c>
      <c r="U27" s="139">
        <v>6334.3130000000046</v>
      </c>
    </row>
    <row r="28" spans="1:21" s="111" customFormat="1" ht="38.25" customHeight="1" x14ac:dyDescent="0.4">
      <c r="A28" s="313" t="s">
        <v>98</v>
      </c>
      <c r="B28" s="313"/>
      <c r="C28" s="141">
        <v>7279.4250000000047</v>
      </c>
      <c r="D28" s="141">
        <v>4.4800000000000004</v>
      </c>
      <c r="E28" s="141">
        <v>154.21999999999997</v>
      </c>
      <c r="F28" s="141">
        <v>0</v>
      </c>
      <c r="G28" s="141">
        <v>0</v>
      </c>
      <c r="H28" s="141">
        <v>7283.9050000000043</v>
      </c>
      <c r="I28" s="141">
        <v>723.11799999999994</v>
      </c>
      <c r="J28" s="141">
        <v>18.71</v>
      </c>
      <c r="K28" s="141">
        <v>80.31</v>
      </c>
      <c r="L28" s="141">
        <v>0</v>
      </c>
      <c r="M28" s="141">
        <v>0</v>
      </c>
      <c r="N28" s="141">
        <v>741.82799999999997</v>
      </c>
      <c r="O28" s="141">
        <v>50.02</v>
      </c>
      <c r="P28" s="141">
        <v>0.11</v>
      </c>
      <c r="Q28" s="141">
        <v>0.53</v>
      </c>
      <c r="R28" s="141">
        <v>0</v>
      </c>
      <c r="S28" s="141">
        <v>0</v>
      </c>
      <c r="T28" s="141">
        <v>50.13</v>
      </c>
      <c r="U28" s="141">
        <v>8075.8630000000048</v>
      </c>
    </row>
    <row r="29" spans="1:21" ht="38.25" customHeight="1" x14ac:dyDescent="0.35">
      <c r="A29" s="171">
        <v>17</v>
      </c>
      <c r="B29" s="231" t="s">
        <v>99</v>
      </c>
      <c r="C29" s="139">
        <v>5004.4799999999996</v>
      </c>
      <c r="D29" s="139">
        <v>1.48</v>
      </c>
      <c r="E29" s="139">
        <v>45.66</v>
      </c>
      <c r="F29" s="139">
        <v>0</v>
      </c>
      <c r="G29" s="139">
        <v>0</v>
      </c>
      <c r="H29" s="139">
        <v>5005.9599999999991</v>
      </c>
      <c r="I29" s="139">
        <v>121.53000000000002</v>
      </c>
      <c r="J29" s="139">
        <v>0</v>
      </c>
      <c r="K29" s="139">
        <v>1.21</v>
      </c>
      <c r="L29" s="139">
        <v>0</v>
      </c>
      <c r="M29" s="139">
        <v>0</v>
      </c>
      <c r="N29" s="139">
        <v>121.53000000000002</v>
      </c>
      <c r="O29" s="139">
        <v>34.52000000000001</v>
      </c>
      <c r="P29" s="139">
        <v>0</v>
      </c>
      <c r="Q29" s="139">
        <v>0</v>
      </c>
      <c r="R29" s="139">
        <v>0</v>
      </c>
      <c r="S29" s="139">
        <v>23.2</v>
      </c>
      <c r="T29" s="139">
        <v>34.52000000000001</v>
      </c>
      <c r="U29" s="139">
        <v>5162.0099999999993</v>
      </c>
    </row>
    <row r="30" spans="1:21" ht="38.25" customHeight="1" x14ac:dyDescent="0.35">
      <c r="A30" s="171">
        <v>18</v>
      </c>
      <c r="B30" s="231" t="s">
        <v>100</v>
      </c>
      <c r="C30" s="139">
        <v>3692.4499999999994</v>
      </c>
      <c r="D30" s="139">
        <v>1.5</v>
      </c>
      <c r="E30" s="139">
        <v>81.610000000000014</v>
      </c>
      <c r="F30" s="139">
        <v>0</v>
      </c>
      <c r="G30" s="139">
        <v>0</v>
      </c>
      <c r="H30" s="139">
        <v>3693.9499999999994</v>
      </c>
      <c r="I30" s="139">
        <v>198.58699999999999</v>
      </c>
      <c r="J30" s="139">
        <v>0</v>
      </c>
      <c r="K30" s="139">
        <v>0</v>
      </c>
      <c r="L30" s="139">
        <v>0</v>
      </c>
      <c r="M30" s="139">
        <v>0</v>
      </c>
      <c r="N30" s="139">
        <v>198.58699999999999</v>
      </c>
      <c r="O30" s="139">
        <v>23.25</v>
      </c>
      <c r="P30" s="139">
        <v>0</v>
      </c>
      <c r="Q30" s="139">
        <v>0</v>
      </c>
      <c r="R30" s="139">
        <v>0</v>
      </c>
      <c r="S30" s="139">
        <v>0</v>
      </c>
      <c r="T30" s="139">
        <v>23.25</v>
      </c>
      <c r="U30" s="139">
        <v>3915.7869999999994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v>4696.3920000000007</v>
      </c>
      <c r="D31" s="139">
        <v>1.895</v>
      </c>
      <c r="E31" s="139">
        <v>32.708000000000006</v>
      </c>
      <c r="F31" s="139">
        <v>0</v>
      </c>
      <c r="G31" s="139">
        <v>0</v>
      </c>
      <c r="H31" s="139">
        <v>4698.2870000000012</v>
      </c>
      <c r="I31" s="139">
        <v>107.69000000000003</v>
      </c>
      <c r="J31" s="139">
        <v>0</v>
      </c>
      <c r="K31" s="139">
        <v>0</v>
      </c>
      <c r="L31" s="139">
        <v>0</v>
      </c>
      <c r="M31" s="139">
        <v>0</v>
      </c>
      <c r="N31" s="139">
        <v>107.69000000000003</v>
      </c>
      <c r="O31" s="139">
        <v>14.850000000000001</v>
      </c>
      <c r="P31" s="139">
        <v>0</v>
      </c>
      <c r="Q31" s="139">
        <v>0</v>
      </c>
      <c r="R31" s="139">
        <v>0</v>
      </c>
      <c r="S31" s="139">
        <v>0</v>
      </c>
      <c r="T31" s="139">
        <v>14.850000000000001</v>
      </c>
      <c r="U31" s="139">
        <v>4820.8270000000011</v>
      </c>
    </row>
    <row r="32" spans="1:21" ht="38.25" customHeight="1" x14ac:dyDescent="0.35">
      <c r="A32" s="171">
        <v>20</v>
      </c>
      <c r="B32" s="231" t="s">
        <v>102</v>
      </c>
      <c r="C32" s="139">
        <v>2357.0057999999995</v>
      </c>
      <c r="D32" s="139">
        <v>3.45</v>
      </c>
      <c r="E32" s="139">
        <v>46.71</v>
      </c>
      <c r="F32" s="139">
        <v>0</v>
      </c>
      <c r="G32" s="139">
        <v>0</v>
      </c>
      <c r="H32" s="139">
        <v>2360.4557999999993</v>
      </c>
      <c r="I32" s="139">
        <v>89.356000000000009</v>
      </c>
      <c r="J32" s="139">
        <v>0.53</v>
      </c>
      <c r="K32" s="139">
        <v>7.04</v>
      </c>
      <c r="L32" s="139">
        <v>0</v>
      </c>
      <c r="M32" s="139">
        <v>0</v>
      </c>
      <c r="N32" s="139">
        <v>89.88600000000001</v>
      </c>
      <c r="O32" s="139">
        <v>67.551999999999992</v>
      </c>
      <c r="P32" s="139">
        <v>0</v>
      </c>
      <c r="Q32" s="139">
        <v>0</v>
      </c>
      <c r="R32" s="139">
        <v>0</v>
      </c>
      <c r="S32" s="139">
        <v>0</v>
      </c>
      <c r="T32" s="139">
        <v>67.551999999999992</v>
      </c>
      <c r="U32" s="139">
        <v>2517.8937999999994</v>
      </c>
    </row>
    <row r="33" spans="1:21" s="111" customFormat="1" ht="38.25" customHeight="1" x14ac:dyDescent="0.4">
      <c r="A33" s="313" t="s">
        <v>99</v>
      </c>
      <c r="B33" s="313"/>
      <c r="C33" s="141">
        <v>15750.327799999999</v>
      </c>
      <c r="D33" s="141">
        <v>8.3249999999999993</v>
      </c>
      <c r="E33" s="141">
        <v>206.68800000000002</v>
      </c>
      <c r="F33" s="141">
        <v>0</v>
      </c>
      <c r="G33" s="141">
        <v>0</v>
      </c>
      <c r="H33" s="141">
        <v>15758.6528</v>
      </c>
      <c r="I33" s="141">
        <v>517.16300000000001</v>
      </c>
      <c r="J33" s="141">
        <v>0.53</v>
      </c>
      <c r="K33" s="141">
        <v>8.25</v>
      </c>
      <c r="L33" s="141">
        <v>0</v>
      </c>
      <c r="M33" s="141">
        <v>0</v>
      </c>
      <c r="N33" s="141">
        <v>517.69299999999998</v>
      </c>
      <c r="O33" s="141">
        <v>140.172</v>
      </c>
      <c r="P33" s="141">
        <v>0</v>
      </c>
      <c r="Q33" s="141">
        <v>0</v>
      </c>
      <c r="R33" s="141">
        <v>0</v>
      </c>
      <c r="S33" s="141">
        <v>23.2</v>
      </c>
      <c r="T33" s="141">
        <v>140.172</v>
      </c>
      <c r="U33" s="141">
        <v>16416.517799999998</v>
      </c>
    </row>
    <row r="34" spans="1:21" ht="38.25" customHeight="1" x14ac:dyDescent="0.35">
      <c r="A34" s="171">
        <v>21</v>
      </c>
      <c r="B34" s="231" t="s">
        <v>103</v>
      </c>
      <c r="C34" s="139">
        <v>4576.87</v>
      </c>
      <c r="D34" s="139">
        <v>6.71</v>
      </c>
      <c r="E34" s="139">
        <v>154.36999999999998</v>
      </c>
      <c r="F34" s="139">
        <v>0</v>
      </c>
      <c r="G34" s="139">
        <v>9.89</v>
      </c>
      <c r="H34" s="139">
        <v>4583.58</v>
      </c>
      <c r="I34" s="139">
        <v>108.07999999999998</v>
      </c>
      <c r="J34" s="139">
        <v>0</v>
      </c>
      <c r="K34" s="139">
        <v>108.07999999999998</v>
      </c>
      <c r="L34" s="139">
        <v>0</v>
      </c>
      <c r="M34" s="139">
        <v>0</v>
      </c>
      <c r="N34" s="139">
        <v>108.07999999999998</v>
      </c>
      <c r="O34" s="139">
        <v>72.7</v>
      </c>
      <c r="P34" s="139">
        <v>0</v>
      </c>
      <c r="Q34" s="139">
        <v>72.7</v>
      </c>
      <c r="R34" s="139">
        <v>0</v>
      </c>
      <c r="S34" s="139">
        <v>0</v>
      </c>
      <c r="T34" s="139">
        <v>72.7</v>
      </c>
      <c r="U34" s="139">
        <v>4764.3599999999997</v>
      </c>
    </row>
    <row r="35" spans="1:21" ht="38.25" customHeight="1" x14ac:dyDescent="0.35">
      <c r="A35" s="171">
        <v>22</v>
      </c>
      <c r="B35" s="231" t="s">
        <v>104</v>
      </c>
      <c r="C35" s="139">
        <v>6606.1399999999976</v>
      </c>
      <c r="D35" s="139">
        <v>36.06</v>
      </c>
      <c r="E35" s="139">
        <v>432.62</v>
      </c>
      <c r="F35" s="139">
        <v>0</v>
      </c>
      <c r="G35" s="139">
        <v>0</v>
      </c>
      <c r="H35" s="139">
        <v>6642.199999999998</v>
      </c>
      <c r="I35" s="139">
        <v>34.130000000000003</v>
      </c>
      <c r="J35" s="139">
        <v>0</v>
      </c>
      <c r="K35" s="139">
        <v>27.21</v>
      </c>
      <c r="L35" s="139">
        <v>0</v>
      </c>
      <c r="M35" s="139">
        <v>0</v>
      </c>
      <c r="N35" s="139">
        <v>34.130000000000003</v>
      </c>
      <c r="O35" s="139">
        <v>90.800000000000011</v>
      </c>
      <c r="P35" s="139">
        <v>0</v>
      </c>
      <c r="Q35" s="139">
        <v>32.380000000000003</v>
      </c>
      <c r="R35" s="139">
        <v>0</v>
      </c>
      <c r="S35" s="139">
        <v>0</v>
      </c>
      <c r="T35" s="139">
        <v>90.800000000000011</v>
      </c>
      <c r="U35" s="139">
        <v>6767.1299999999983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v>3663.4</v>
      </c>
      <c r="D36" s="139">
        <v>9.02</v>
      </c>
      <c r="E36" s="139">
        <v>221.32</v>
      </c>
      <c r="F36" s="139">
        <v>0</v>
      </c>
      <c r="G36" s="139">
        <v>0</v>
      </c>
      <c r="H36" s="139">
        <v>3672.42</v>
      </c>
      <c r="I36" s="139">
        <v>30.250000000000039</v>
      </c>
      <c r="J36" s="139">
        <v>0</v>
      </c>
      <c r="K36" s="139">
        <v>5.2</v>
      </c>
      <c r="L36" s="139">
        <v>0</v>
      </c>
      <c r="M36" s="139">
        <v>4.63</v>
      </c>
      <c r="N36" s="139">
        <v>30.250000000000039</v>
      </c>
      <c r="O36" s="139">
        <v>36.379999999999995</v>
      </c>
      <c r="P36" s="139">
        <v>0</v>
      </c>
      <c r="Q36" s="139">
        <v>19.29</v>
      </c>
      <c r="R36" s="139">
        <v>0</v>
      </c>
      <c r="S36" s="139">
        <v>0</v>
      </c>
      <c r="T36" s="139">
        <v>36.379999999999995</v>
      </c>
      <c r="U36" s="139">
        <v>3739.05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v>5080.949999999998</v>
      </c>
      <c r="D37" s="139">
        <v>0.3</v>
      </c>
      <c r="E37" s="139">
        <v>293.13000000000005</v>
      </c>
      <c r="F37" s="139">
        <v>0</v>
      </c>
      <c r="G37" s="139">
        <v>0</v>
      </c>
      <c r="H37" s="139">
        <v>5081.2499999999982</v>
      </c>
      <c r="I37" s="139">
        <v>26.700000000000003</v>
      </c>
      <c r="J37" s="139">
        <v>0</v>
      </c>
      <c r="K37" s="139">
        <v>14.27</v>
      </c>
      <c r="L37" s="139">
        <v>0</v>
      </c>
      <c r="M37" s="139">
        <v>1.06</v>
      </c>
      <c r="N37" s="139">
        <v>26.700000000000003</v>
      </c>
      <c r="O37" s="139">
        <v>3.0599999999999996</v>
      </c>
      <c r="P37" s="139">
        <v>0</v>
      </c>
      <c r="Q37" s="139">
        <v>0</v>
      </c>
      <c r="R37" s="139">
        <v>0</v>
      </c>
      <c r="S37" s="139">
        <v>3.46</v>
      </c>
      <c r="T37" s="139">
        <v>3.0599999999999996</v>
      </c>
      <c r="U37" s="139">
        <v>5111.0099999999984</v>
      </c>
    </row>
    <row r="38" spans="1:21" s="111" customFormat="1" ht="38.25" customHeight="1" x14ac:dyDescent="0.4">
      <c r="A38" s="313" t="s">
        <v>107</v>
      </c>
      <c r="B38" s="313"/>
      <c r="C38" s="141">
        <v>19927.359999999997</v>
      </c>
      <c r="D38" s="141">
        <v>52.09</v>
      </c>
      <c r="E38" s="141">
        <v>1101.44</v>
      </c>
      <c r="F38" s="141">
        <v>0</v>
      </c>
      <c r="G38" s="141">
        <v>9.89</v>
      </c>
      <c r="H38" s="141">
        <v>19979.449999999997</v>
      </c>
      <c r="I38" s="141">
        <v>199.16000000000003</v>
      </c>
      <c r="J38" s="141">
        <v>0</v>
      </c>
      <c r="K38" s="141">
        <v>154.76</v>
      </c>
      <c r="L38" s="141">
        <v>0</v>
      </c>
      <c r="M38" s="141">
        <v>5.6899999999999995</v>
      </c>
      <c r="N38" s="141">
        <v>199.16000000000003</v>
      </c>
      <c r="O38" s="141">
        <v>202.94</v>
      </c>
      <c r="P38" s="141">
        <v>0</v>
      </c>
      <c r="Q38" s="141">
        <v>124.37</v>
      </c>
      <c r="R38" s="141">
        <v>0</v>
      </c>
      <c r="S38" s="141">
        <v>3.46</v>
      </c>
      <c r="T38" s="141">
        <v>202.94</v>
      </c>
      <c r="U38" s="141">
        <v>20381.549999999996</v>
      </c>
    </row>
    <row r="39" spans="1:21" s="145" customFormat="1" ht="38.25" customHeight="1" x14ac:dyDescent="0.4">
      <c r="A39" s="313" t="s">
        <v>108</v>
      </c>
      <c r="B39" s="313"/>
      <c r="C39" s="141">
        <v>42957.112800000003</v>
      </c>
      <c r="D39" s="141">
        <v>64.89500000000001</v>
      </c>
      <c r="E39" s="141">
        <v>1462.3480000000002</v>
      </c>
      <c r="F39" s="141">
        <v>0</v>
      </c>
      <c r="G39" s="141">
        <v>9.89</v>
      </c>
      <c r="H39" s="141">
        <v>43022.007799999999</v>
      </c>
      <c r="I39" s="141">
        <v>1439.441</v>
      </c>
      <c r="J39" s="141">
        <v>19.240000000000002</v>
      </c>
      <c r="K39" s="141">
        <v>243.32</v>
      </c>
      <c r="L39" s="141">
        <v>0</v>
      </c>
      <c r="M39" s="141">
        <v>5.6899999999999995</v>
      </c>
      <c r="N39" s="141">
        <v>1458.681</v>
      </c>
      <c r="O39" s="141">
        <v>393.13199999999995</v>
      </c>
      <c r="P39" s="141">
        <v>0.11</v>
      </c>
      <c r="Q39" s="141">
        <v>124.9</v>
      </c>
      <c r="R39" s="141">
        <v>0</v>
      </c>
      <c r="S39" s="141">
        <v>26.66</v>
      </c>
      <c r="T39" s="141">
        <v>393.24199999999996</v>
      </c>
      <c r="U39" s="141">
        <v>44873.930799999995</v>
      </c>
    </row>
    <row r="40" spans="1:21" ht="38.25" customHeight="1" x14ac:dyDescent="0.35">
      <c r="A40" s="171">
        <v>25</v>
      </c>
      <c r="B40" s="231" t="s">
        <v>109</v>
      </c>
      <c r="C40" s="139">
        <v>11810.573999999999</v>
      </c>
      <c r="D40" s="139">
        <v>19.14</v>
      </c>
      <c r="E40" s="139">
        <v>439.27</v>
      </c>
      <c r="F40" s="139">
        <v>0</v>
      </c>
      <c r="G40" s="139">
        <v>0</v>
      </c>
      <c r="H40" s="139">
        <v>11829.713999999998</v>
      </c>
      <c r="I40" s="139">
        <v>198.73</v>
      </c>
      <c r="J40" s="139">
        <v>0</v>
      </c>
      <c r="K40" s="139">
        <v>0</v>
      </c>
      <c r="L40" s="139">
        <v>0</v>
      </c>
      <c r="M40" s="139">
        <v>0</v>
      </c>
      <c r="N40" s="139">
        <v>198.73</v>
      </c>
      <c r="O40" s="139">
        <v>95.79</v>
      </c>
      <c r="P40" s="139">
        <v>11.14</v>
      </c>
      <c r="Q40" s="139">
        <v>106.93</v>
      </c>
      <c r="R40" s="139">
        <v>0</v>
      </c>
      <c r="S40" s="139">
        <v>0</v>
      </c>
      <c r="T40" s="139">
        <v>106.93</v>
      </c>
      <c r="U40" s="139">
        <v>12135.373999999998</v>
      </c>
    </row>
    <row r="41" spans="1:21" ht="38.25" customHeight="1" x14ac:dyDescent="0.35">
      <c r="A41" s="171">
        <v>26</v>
      </c>
      <c r="B41" s="231" t="s">
        <v>110</v>
      </c>
      <c r="C41" s="139">
        <v>8262.3289999999943</v>
      </c>
      <c r="D41" s="139">
        <v>129.81</v>
      </c>
      <c r="E41" s="139">
        <v>894.10200000000009</v>
      </c>
      <c r="F41" s="139">
        <v>0</v>
      </c>
      <c r="G41" s="139">
        <v>0</v>
      </c>
      <c r="H41" s="139">
        <v>8392.1389999999938</v>
      </c>
      <c r="I41" s="139">
        <v>8.67</v>
      </c>
      <c r="J41" s="139">
        <v>0</v>
      </c>
      <c r="K41" s="139">
        <v>0</v>
      </c>
      <c r="L41" s="139">
        <v>0</v>
      </c>
      <c r="M41" s="139">
        <v>0</v>
      </c>
      <c r="N41" s="139">
        <v>8.67</v>
      </c>
      <c r="O41" s="139">
        <v>127.28000000000002</v>
      </c>
      <c r="P41" s="139">
        <v>14.01</v>
      </c>
      <c r="Q41" s="139">
        <v>141.29000000000002</v>
      </c>
      <c r="R41" s="139">
        <v>0</v>
      </c>
      <c r="S41" s="139">
        <v>0</v>
      </c>
      <c r="T41" s="139">
        <v>141.29000000000002</v>
      </c>
      <c r="U41" s="139">
        <v>8542.0989999999947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v>13898.702999999996</v>
      </c>
      <c r="D42" s="139">
        <v>132.54999999999998</v>
      </c>
      <c r="E42" s="139">
        <v>225.81399999999999</v>
      </c>
      <c r="F42" s="139">
        <v>0</v>
      </c>
      <c r="G42" s="139">
        <v>0</v>
      </c>
      <c r="H42" s="139">
        <v>14031.252999999995</v>
      </c>
      <c r="I42" s="139">
        <v>15.62</v>
      </c>
      <c r="J42" s="139">
        <v>0</v>
      </c>
      <c r="K42" s="139">
        <v>0</v>
      </c>
      <c r="L42" s="139">
        <v>0</v>
      </c>
      <c r="M42" s="139">
        <v>0</v>
      </c>
      <c r="N42" s="139">
        <v>15.62</v>
      </c>
      <c r="O42" s="139">
        <v>177.82</v>
      </c>
      <c r="P42" s="139">
        <v>27.53</v>
      </c>
      <c r="Q42" s="139">
        <v>166.33</v>
      </c>
      <c r="R42" s="139">
        <v>0</v>
      </c>
      <c r="S42" s="139">
        <v>0</v>
      </c>
      <c r="T42" s="139">
        <v>205.35</v>
      </c>
      <c r="U42" s="139">
        <v>14252.222999999996</v>
      </c>
    </row>
    <row r="43" spans="1:21" ht="38.25" customHeight="1" x14ac:dyDescent="0.35">
      <c r="A43" s="171">
        <v>28</v>
      </c>
      <c r="B43" s="231" t="s">
        <v>112</v>
      </c>
      <c r="C43" s="139">
        <v>4123.3400000000011</v>
      </c>
      <c r="D43" s="139">
        <v>25.49</v>
      </c>
      <c r="E43" s="139">
        <v>181.35000000000002</v>
      </c>
      <c r="F43" s="139">
        <v>0</v>
      </c>
      <c r="G43" s="139">
        <v>0</v>
      </c>
      <c r="H43" s="139">
        <v>4148.8300000000008</v>
      </c>
      <c r="I43" s="139">
        <v>3.5</v>
      </c>
      <c r="J43" s="139">
        <v>0</v>
      </c>
      <c r="K43" s="139">
        <v>0</v>
      </c>
      <c r="L43" s="139">
        <v>0</v>
      </c>
      <c r="M43" s="139">
        <v>0</v>
      </c>
      <c r="N43" s="139">
        <v>3.5</v>
      </c>
      <c r="O43" s="139">
        <v>29.8</v>
      </c>
      <c r="P43" s="139">
        <v>0</v>
      </c>
      <c r="Q43" s="139">
        <v>29.8</v>
      </c>
      <c r="R43" s="139">
        <v>0</v>
      </c>
      <c r="S43" s="139">
        <v>0</v>
      </c>
      <c r="T43" s="139">
        <v>29.8</v>
      </c>
      <c r="U43" s="139">
        <v>4182.130000000001</v>
      </c>
    </row>
    <row r="44" spans="1:21" s="111" customFormat="1" ht="38.25" customHeight="1" x14ac:dyDescent="0.4">
      <c r="A44" s="313" t="s">
        <v>109</v>
      </c>
      <c r="B44" s="313"/>
      <c r="C44" s="141">
        <v>38094.945999999989</v>
      </c>
      <c r="D44" s="141">
        <v>306.99</v>
      </c>
      <c r="E44" s="141">
        <v>1740.5360000000001</v>
      </c>
      <c r="F44" s="141">
        <v>0</v>
      </c>
      <c r="G44" s="141">
        <v>0</v>
      </c>
      <c r="H44" s="141">
        <v>38401.935999999987</v>
      </c>
      <c r="I44" s="141">
        <v>226.51999999999998</v>
      </c>
      <c r="J44" s="141">
        <v>0</v>
      </c>
      <c r="K44" s="141">
        <v>0</v>
      </c>
      <c r="L44" s="141">
        <v>0</v>
      </c>
      <c r="M44" s="141">
        <v>0</v>
      </c>
      <c r="N44" s="141">
        <v>226.51999999999998</v>
      </c>
      <c r="O44" s="141">
        <v>430.69</v>
      </c>
      <c r="P44" s="141">
        <v>52.68</v>
      </c>
      <c r="Q44" s="141">
        <v>444.35000000000008</v>
      </c>
      <c r="R44" s="141">
        <v>0</v>
      </c>
      <c r="S44" s="141">
        <v>0</v>
      </c>
      <c r="T44" s="141">
        <v>483.37000000000006</v>
      </c>
      <c r="U44" s="141">
        <v>39111.825999999986</v>
      </c>
    </row>
    <row r="45" spans="1:21" ht="38.25" customHeight="1" x14ac:dyDescent="0.35">
      <c r="A45" s="171">
        <v>29</v>
      </c>
      <c r="B45" s="231" t="s">
        <v>113</v>
      </c>
      <c r="C45" s="139">
        <v>8328.2121000000006</v>
      </c>
      <c r="D45" s="139">
        <v>12.46</v>
      </c>
      <c r="E45" s="139">
        <v>288.69</v>
      </c>
      <c r="F45" s="139">
        <v>0</v>
      </c>
      <c r="G45" s="139">
        <v>0</v>
      </c>
      <c r="H45" s="139">
        <v>8340.6720999999998</v>
      </c>
      <c r="I45" s="139">
        <v>260.96999999999997</v>
      </c>
      <c r="J45" s="139">
        <v>0.08</v>
      </c>
      <c r="K45" s="139">
        <v>219.13</v>
      </c>
      <c r="L45" s="139">
        <v>0</v>
      </c>
      <c r="M45" s="139">
        <v>0</v>
      </c>
      <c r="N45" s="139">
        <v>261.04999999999995</v>
      </c>
      <c r="O45" s="139">
        <v>84.27</v>
      </c>
      <c r="P45" s="139">
        <v>0.12</v>
      </c>
      <c r="Q45" s="139">
        <v>69.64</v>
      </c>
      <c r="R45" s="139">
        <v>0</v>
      </c>
      <c r="S45" s="139">
        <v>0</v>
      </c>
      <c r="T45" s="139">
        <v>84.39</v>
      </c>
      <c r="U45" s="139">
        <v>8686.1120999999985</v>
      </c>
    </row>
    <row r="46" spans="1:21" ht="38.25" customHeight="1" x14ac:dyDescent="0.35">
      <c r="A46" s="171">
        <v>30</v>
      </c>
      <c r="B46" s="231" t="s">
        <v>114</v>
      </c>
      <c r="C46" s="139">
        <v>7843.8050000000021</v>
      </c>
      <c r="D46" s="139">
        <v>68.739999999999995</v>
      </c>
      <c r="E46" s="139">
        <v>174.05</v>
      </c>
      <c r="F46" s="139">
        <v>0</v>
      </c>
      <c r="G46" s="139">
        <v>0</v>
      </c>
      <c r="H46" s="139">
        <v>7912.5450000000019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47.03</v>
      </c>
      <c r="P46" s="139">
        <v>0</v>
      </c>
      <c r="Q46" s="139">
        <v>47.03</v>
      </c>
      <c r="R46" s="139">
        <v>0</v>
      </c>
      <c r="S46" s="139">
        <v>0</v>
      </c>
      <c r="T46" s="139">
        <v>47.03</v>
      </c>
      <c r="U46" s="139">
        <v>7959.5750000000016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v>9031.1199999999972</v>
      </c>
      <c r="D47" s="139">
        <v>1.93</v>
      </c>
      <c r="E47" s="139">
        <v>248.41000000000003</v>
      </c>
      <c r="F47" s="139">
        <v>0</v>
      </c>
      <c r="G47" s="139">
        <v>0</v>
      </c>
      <c r="H47" s="139">
        <v>9033.0499999999975</v>
      </c>
      <c r="I47" s="139">
        <v>3.13</v>
      </c>
      <c r="J47" s="139">
        <v>0</v>
      </c>
      <c r="K47" s="139">
        <v>0</v>
      </c>
      <c r="L47" s="139">
        <v>0</v>
      </c>
      <c r="M47" s="139">
        <v>0</v>
      </c>
      <c r="N47" s="139">
        <v>3.13</v>
      </c>
      <c r="O47" s="139">
        <v>118.94999999999999</v>
      </c>
      <c r="P47" s="139">
        <v>0</v>
      </c>
      <c r="Q47" s="139">
        <v>118.91999999999999</v>
      </c>
      <c r="R47" s="139">
        <v>0</v>
      </c>
      <c r="S47" s="139">
        <v>0</v>
      </c>
      <c r="T47" s="139">
        <v>118.94999999999999</v>
      </c>
      <c r="U47" s="139">
        <v>9155.1299999999974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v>8596.498999999998</v>
      </c>
      <c r="D48" s="139">
        <v>0.9</v>
      </c>
      <c r="E48" s="139">
        <v>400.60999999999996</v>
      </c>
      <c r="F48" s="139">
        <v>0</v>
      </c>
      <c r="G48" s="139">
        <v>0</v>
      </c>
      <c r="H48" s="139">
        <v>8597.3989999999976</v>
      </c>
      <c r="I48" s="139">
        <v>5.0249999999999995</v>
      </c>
      <c r="J48" s="139">
        <v>0</v>
      </c>
      <c r="K48" s="139">
        <v>0</v>
      </c>
      <c r="L48" s="139">
        <v>0</v>
      </c>
      <c r="M48" s="139">
        <v>0</v>
      </c>
      <c r="N48" s="139">
        <v>5.0249999999999995</v>
      </c>
      <c r="O48" s="139">
        <v>4.21</v>
      </c>
      <c r="P48" s="139">
        <v>0</v>
      </c>
      <c r="Q48" s="139">
        <v>4.21</v>
      </c>
      <c r="R48" s="139">
        <v>0</v>
      </c>
      <c r="S48" s="139">
        <v>0</v>
      </c>
      <c r="T48" s="139">
        <v>4.21</v>
      </c>
      <c r="U48" s="139">
        <v>8606.6339999999964</v>
      </c>
    </row>
    <row r="49" spans="1:21" s="111" customFormat="1" ht="38.25" customHeight="1" x14ac:dyDescent="0.4">
      <c r="A49" s="313" t="s">
        <v>117</v>
      </c>
      <c r="B49" s="313"/>
      <c r="C49" s="141">
        <v>33799.636099999996</v>
      </c>
      <c r="D49" s="141">
        <v>84.03</v>
      </c>
      <c r="E49" s="141">
        <v>1111.76</v>
      </c>
      <c r="F49" s="141">
        <v>0</v>
      </c>
      <c r="G49" s="141">
        <v>0</v>
      </c>
      <c r="H49" s="141">
        <v>33883.666099999995</v>
      </c>
      <c r="I49" s="141">
        <v>269.12499999999994</v>
      </c>
      <c r="J49" s="141">
        <v>0.08</v>
      </c>
      <c r="K49" s="141">
        <v>219.13</v>
      </c>
      <c r="L49" s="141">
        <v>0</v>
      </c>
      <c r="M49" s="141">
        <v>0</v>
      </c>
      <c r="N49" s="141">
        <v>269.20499999999993</v>
      </c>
      <c r="O49" s="141">
        <v>254.46</v>
      </c>
      <c r="P49" s="141">
        <v>0.12</v>
      </c>
      <c r="Q49" s="141">
        <v>239.79999999999998</v>
      </c>
      <c r="R49" s="141">
        <v>0</v>
      </c>
      <c r="S49" s="141">
        <v>0</v>
      </c>
      <c r="T49" s="141">
        <v>254.58</v>
      </c>
      <c r="U49" s="141">
        <v>34407.451099999991</v>
      </c>
    </row>
    <row r="50" spans="1:21" s="145" customFormat="1" ht="38.25" customHeight="1" x14ac:dyDescent="0.4">
      <c r="A50" s="313" t="s">
        <v>118</v>
      </c>
      <c r="B50" s="313"/>
      <c r="C50" s="141">
        <v>71894.582099999985</v>
      </c>
      <c r="D50" s="141">
        <v>391.02</v>
      </c>
      <c r="E50" s="141">
        <v>2852.2960000000003</v>
      </c>
      <c r="F50" s="141">
        <v>0</v>
      </c>
      <c r="G50" s="141">
        <v>0</v>
      </c>
      <c r="H50" s="141">
        <v>72285.602099999989</v>
      </c>
      <c r="I50" s="141">
        <v>495.64499999999992</v>
      </c>
      <c r="J50" s="141">
        <v>0.08</v>
      </c>
      <c r="K50" s="141">
        <v>219.13</v>
      </c>
      <c r="L50" s="141">
        <v>0</v>
      </c>
      <c r="M50" s="141">
        <v>0</v>
      </c>
      <c r="N50" s="141">
        <v>495.72499999999991</v>
      </c>
      <c r="O50" s="141">
        <v>685.15</v>
      </c>
      <c r="P50" s="141">
        <v>52.8</v>
      </c>
      <c r="Q50" s="141">
        <v>684.15000000000009</v>
      </c>
      <c r="R50" s="141">
        <v>0</v>
      </c>
      <c r="S50" s="141">
        <v>0</v>
      </c>
      <c r="T50" s="141">
        <v>737.95</v>
      </c>
      <c r="U50" s="141">
        <v>73519.277099999978</v>
      </c>
    </row>
    <row r="51" spans="1:21" s="146" customFormat="1" ht="38.25" customHeight="1" x14ac:dyDescent="0.4">
      <c r="A51" s="313" t="s">
        <v>119</v>
      </c>
      <c r="B51" s="313"/>
      <c r="C51" s="141">
        <v>118934.59089999998</v>
      </c>
      <c r="D51" s="141">
        <v>459.43499999999995</v>
      </c>
      <c r="E51" s="141">
        <v>4330.7840000000006</v>
      </c>
      <c r="F51" s="141">
        <v>138.59</v>
      </c>
      <c r="G51" s="141">
        <v>765.56</v>
      </c>
      <c r="H51" s="141">
        <v>119255.43589999998</v>
      </c>
      <c r="I51" s="141">
        <v>10654.557999999999</v>
      </c>
      <c r="J51" s="141">
        <v>185.82999999999998</v>
      </c>
      <c r="K51" s="141">
        <v>2165.384</v>
      </c>
      <c r="L51" s="141">
        <v>0</v>
      </c>
      <c r="M51" s="141">
        <v>7.85</v>
      </c>
      <c r="N51" s="141">
        <v>10840.387999999999</v>
      </c>
      <c r="O51" s="141">
        <v>1645.1599999999999</v>
      </c>
      <c r="P51" s="141">
        <v>52.91</v>
      </c>
      <c r="Q51" s="141">
        <v>813.55000000000007</v>
      </c>
      <c r="R51" s="141">
        <v>21.470000000000002</v>
      </c>
      <c r="S51" s="141">
        <v>78.430000000000007</v>
      </c>
      <c r="T51" s="141">
        <v>1676.6</v>
      </c>
      <c r="U51" s="141">
        <v>131772.42389999999</v>
      </c>
    </row>
    <row r="52" spans="1:21" s="115" customFormat="1" ht="24.75" hidden="1" customHeight="1" x14ac:dyDescent="0.4">
      <c r="B52" s="269"/>
      <c r="C52" s="278" t="s">
        <v>54</v>
      </c>
      <c r="D52" s="278"/>
      <c r="E52" s="278"/>
      <c r="F52" s="278"/>
      <c r="G52" s="278"/>
      <c r="H52" s="118"/>
      <c r="I52" s="269"/>
      <c r="J52" s="269">
        <f>D51+J51+P51-F51-L51-R51</f>
        <v>538.11499999999978</v>
      </c>
      <c r="K52" s="269"/>
      <c r="L52" s="269"/>
      <c r="M52" s="269"/>
      <c r="N52" s="269"/>
      <c r="R52" s="269"/>
      <c r="U52" s="269"/>
    </row>
    <row r="53" spans="1:21" s="115" customFormat="1" ht="30" hidden="1" customHeight="1" x14ac:dyDescent="0.35">
      <c r="B53" s="269"/>
      <c r="C53" s="278" t="s">
        <v>55</v>
      </c>
      <c r="D53" s="278"/>
      <c r="E53" s="278"/>
      <c r="F53" s="278"/>
      <c r="G53" s="278"/>
      <c r="H53" s="119"/>
      <c r="I53" s="269"/>
      <c r="J53" s="269">
        <f>E51+K51+Q51-G51-M51-S51</f>
        <v>6457.8780000000006</v>
      </c>
      <c r="K53" s="269"/>
      <c r="L53" s="269"/>
      <c r="M53" s="269"/>
      <c r="N53" s="269"/>
      <c r="R53" s="269"/>
      <c r="T53" s="269"/>
    </row>
    <row r="54" spans="1:21" ht="33" hidden="1" customHeight="1" x14ac:dyDescent="0.5">
      <c r="C54" s="278" t="s">
        <v>56</v>
      </c>
      <c r="D54" s="278"/>
      <c r="E54" s="278"/>
      <c r="F54" s="278"/>
      <c r="G54" s="278"/>
      <c r="H54" s="119"/>
      <c r="I54" s="121"/>
      <c r="J54" s="269">
        <f>H51+N51+T51</f>
        <v>131772.42389999999</v>
      </c>
      <c r="K54" s="119"/>
      <c r="L54" s="119"/>
      <c r="M54" s="142" t="e">
        <f>#REF!+'dec-2021'!J54</f>
        <v>#REF!</v>
      </c>
      <c r="N54" s="119"/>
      <c r="P54" s="115"/>
      <c r="Q54" s="122"/>
      <c r="U54" s="122"/>
    </row>
    <row r="55" spans="1:21" ht="33" hidden="1" customHeight="1" x14ac:dyDescent="0.5">
      <c r="C55" s="120"/>
      <c r="D55" s="269"/>
      <c r="E55" s="269"/>
      <c r="F55" s="269"/>
      <c r="G55" s="269"/>
      <c r="H55" s="119"/>
      <c r="I55" s="121"/>
      <c r="J55" s="269"/>
      <c r="K55" s="119"/>
      <c r="L55" s="119"/>
      <c r="M55" s="143"/>
      <c r="N55" s="119"/>
      <c r="P55" s="115"/>
      <c r="Q55" s="122"/>
      <c r="U55" s="122"/>
    </row>
    <row r="56" spans="1:21" ht="33" hidden="1" customHeight="1" x14ac:dyDescent="0.5">
      <c r="C56" s="120"/>
      <c r="D56" s="269"/>
      <c r="E56" s="269"/>
      <c r="F56" s="269"/>
      <c r="G56" s="269"/>
      <c r="H56" s="119"/>
      <c r="I56" s="121"/>
      <c r="J56" s="269"/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s="152" customFormat="1" ht="37.5" hidden="1" customHeight="1" x14ac:dyDescent="0.45">
      <c r="B57" s="287" t="s">
        <v>57</v>
      </c>
      <c r="C57" s="287"/>
      <c r="D57" s="287"/>
      <c r="E57" s="287"/>
      <c r="F57" s="287"/>
      <c r="G57" s="153"/>
      <c r="H57" s="154"/>
      <c r="I57" s="155"/>
      <c r="J57" s="288"/>
      <c r="K57" s="286"/>
      <c r="L57" s="286"/>
      <c r="M57" s="169" t="e">
        <f>#REF!+'dec-2021'!J54</f>
        <v>#REF!</v>
      </c>
      <c r="N57" s="154"/>
      <c r="O57" s="154"/>
      <c r="P57" s="272"/>
      <c r="Q57" s="287" t="s">
        <v>58</v>
      </c>
      <c r="R57" s="287"/>
      <c r="S57" s="287"/>
      <c r="T57" s="287"/>
      <c r="U57" s="287"/>
    </row>
    <row r="58" spans="1:21" s="152" customFormat="1" ht="37.5" hidden="1" customHeight="1" x14ac:dyDescent="0.45">
      <c r="B58" s="287" t="s">
        <v>59</v>
      </c>
      <c r="C58" s="287"/>
      <c r="D58" s="287"/>
      <c r="E58" s="287"/>
      <c r="F58" s="287"/>
      <c r="G58" s="154"/>
      <c r="H58" s="153"/>
      <c r="I58" s="156"/>
      <c r="J58" s="157"/>
      <c r="K58" s="271"/>
      <c r="L58" s="157"/>
      <c r="M58" s="154"/>
      <c r="N58" s="153"/>
      <c r="O58" s="154"/>
      <c r="P58" s="272"/>
      <c r="Q58" s="287" t="s">
        <v>59</v>
      </c>
      <c r="R58" s="287"/>
      <c r="S58" s="287"/>
      <c r="T58" s="287"/>
      <c r="U58" s="287"/>
    </row>
    <row r="59" spans="1:21" s="152" customFormat="1" ht="37.5" hidden="1" customHeight="1" x14ac:dyDescent="0.45">
      <c r="I59" s="158"/>
      <c r="J59" s="286" t="s">
        <v>61</v>
      </c>
      <c r="K59" s="286"/>
      <c r="L59" s="286"/>
      <c r="M59" s="159" t="e">
        <f>#REF!+'dec-2021'!J54</f>
        <v>#REF!</v>
      </c>
      <c r="P59" s="160"/>
      <c r="Q59" s="160"/>
      <c r="R59" s="160"/>
      <c r="S59" s="161"/>
      <c r="T59" s="160"/>
      <c r="U59" s="160"/>
    </row>
    <row r="60" spans="1:21" s="152" customFormat="1" ht="37.5" hidden="1" customHeight="1" x14ac:dyDescent="0.45">
      <c r="G60" s="162"/>
      <c r="H60" s="159" t="e">
        <f>#REF!+'dec-2021'!J54</f>
        <v>#REF!</v>
      </c>
      <c r="I60" s="158"/>
      <c r="J60" s="286" t="s">
        <v>62</v>
      </c>
      <c r="K60" s="286"/>
      <c r="L60" s="286"/>
      <c r="M60" s="159" t="e">
        <f>#REF!+'dec-2021'!J54</f>
        <v>#REF!</v>
      </c>
      <c r="P60" s="160"/>
      <c r="Q60" s="160"/>
      <c r="R60" s="160"/>
      <c r="S60" s="161"/>
      <c r="T60" s="160"/>
      <c r="U60" s="160"/>
    </row>
    <row r="61" spans="1:21" hidden="1" x14ac:dyDescent="0.35"/>
    <row r="62" spans="1:21" hidden="1" x14ac:dyDescent="0.35">
      <c r="H62" s="130"/>
      <c r="I62" s="131"/>
      <c r="J62" s="130"/>
    </row>
    <row r="63" spans="1:21" hidden="1" x14ac:dyDescent="0.35">
      <c r="H63" s="130"/>
      <c r="I63" s="131"/>
      <c r="J63" s="130"/>
    </row>
    <row r="64" spans="1:21" ht="18" customHeight="1" x14ac:dyDescent="0.35">
      <c r="H64" s="130"/>
      <c r="I64" s="131"/>
      <c r="J64" s="130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8:F58"/>
    <mergeCell ref="Q58:U58"/>
    <mergeCell ref="Q57:U57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59:L59"/>
    <mergeCell ref="J60:L60"/>
    <mergeCell ref="C52:G52"/>
    <mergeCell ref="C53:G53"/>
    <mergeCell ref="C54:G54"/>
    <mergeCell ref="B57:F57"/>
    <mergeCell ref="J57:L57"/>
  </mergeCells>
  <pageMargins left="0.7" right="0.7" top="0.75" bottom="0.75" header="0.3" footer="0.3"/>
  <pageSetup paperSize="9" scale="15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view="pageBreakPreview" topLeftCell="A34" zoomScale="40" zoomScaleNormal="55" zoomScaleSheetLayoutView="40" workbookViewId="0">
      <selection activeCell="F67" sqref="F6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0.425781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3" width="25.42578125" style="107" customWidth="1"/>
    <col min="14" max="14" width="28.7109375" style="107" customWidth="1"/>
    <col min="15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1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158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53" t="s">
        <v>122</v>
      </c>
      <c r="B4" s="355" t="s">
        <v>121</v>
      </c>
      <c r="C4" s="358" t="s">
        <v>131</v>
      </c>
      <c r="D4" s="359"/>
      <c r="E4" s="359"/>
      <c r="F4" s="359"/>
      <c r="G4" s="359"/>
      <c r="H4" s="359"/>
      <c r="I4" s="358" t="s">
        <v>146</v>
      </c>
      <c r="J4" s="359"/>
      <c r="K4" s="359"/>
      <c r="L4" s="359"/>
      <c r="M4" s="359"/>
      <c r="N4" s="359"/>
      <c r="O4" s="358" t="s">
        <v>147</v>
      </c>
      <c r="P4" s="359"/>
      <c r="Q4" s="359"/>
      <c r="R4" s="359"/>
      <c r="S4" s="359"/>
      <c r="T4" s="359"/>
      <c r="U4" s="273"/>
    </row>
    <row r="5" spans="1:21" s="108" customFormat="1" ht="54.75" customHeight="1" x14ac:dyDescent="0.25">
      <c r="A5" s="354"/>
      <c r="B5" s="356"/>
      <c r="C5" s="349" t="s">
        <v>6</v>
      </c>
      <c r="D5" s="351" t="s">
        <v>127</v>
      </c>
      <c r="E5" s="352"/>
      <c r="F5" s="351" t="s">
        <v>126</v>
      </c>
      <c r="G5" s="352"/>
      <c r="H5" s="349" t="s">
        <v>9</v>
      </c>
      <c r="I5" s="349" t="s">
        <v>6</v>
      </c>
      <c r="J5" s="351" t="s">
        <v>127</v>
      </c>
      <c r="K5" s="352"/>
      <c r="L5" s="351" t="s">
        <v>126</v>
      </c>
      <c r="M5" s="352"/>
      <c r="N5" s="349" t="s">
        <v>9</v>
      </c>
      <c r="O5" s="349" t="s">
        <v>6</v>
      </c>
      <c r="P5" s="351" t="s">
        <v>127</v>
      </c>
      <c r="Q5" s="352"/>
      <c r="R5" s="351" t="s">
        <v>126</v>
      </c>
      <c r="S5" s="352"/>
      <c r="T5" s="349" t="s">
        <v>9</v>
      </c>
      <c r="U5" s="355" t="s">
        <v>128</v>
      </c>
    </row>
    <row r="6" spans="1:21" s="108" customFormat="1" ht="38.25" customHeight="1" x14ac:dyDescent="0.25">
      <c r="A6" s="354"/>
      <c r="B6" s="357"/>
      <c r="C6" s="350"/>
      <c r="D6" s="231" t="s">
        <v>124</v>
      </c>
      <c r="E6" s="231" t="s">
        <v>125</v>
      </c>
      <c r="F6" s="231" t="s">
        <v>124</v>
      </c>
      <c r="G6" s="231" t="s">
        <v>125</v>
      </c>
      <c r="H6" s="350"/>
      <c r="I6" s="350"/>
      <c r="J6" s="231" t="s">
        <v>124</v>
      </c>
      <c r="K6" s="231" t="s">
        <v>125</v>
      </c>
      <c r="L6" s="231" t="s">
        <v>124</v>
      </c>
      <c r="M6" s="231" t="s">
        <v>125</v>
      </c>
      <c r="N6" s="350"/>
      <c r="O6" s="350"/>
      <c r="P6" s="231" t="s">
        <v>124</v>
      </c>
      <c r="Q6" s="231" t="s">
        <v>125</v>
      </c>
      <c r="R6" s="231" t="s">
        <v>124</v>
      </c>
      <c r="S6" s="231" t="s">
        <v>125</v>
      </c>
      <c r="T6" s="350"/>
      <c r="U6" s="357"/>
    </row>
    <row r="7" spans="1:21" ht="38.25" customHeight="1" x14ac:dyDescent="0.35">
      <c r="A7" s="230">
        <v>1</v>
      </c>
      <c r="B7" s="231" t="s">
        <v>78</v>
      </c>
      <c r="C7" s="139">
        <f>'[8]Feb 2023'!H7</f>
        <v>7.179999999999982</v>
      </c>
      <c r="D7" s="139">
        <v>0</v>
      </c>
      <c r="E7" s="139">
        <f>'[8]Feb 2023'!E7+'[8]March 2023'!D7</f>
        <v>0</v>
      </c>
      <c r="F7" s="139">
        <v>0</v>
      </c>
      <c r="G7" s="139">
        <f>'[8]Feb 2023'!G7+'[8]March 2023'!F7</f>
        <v>82.86</v>
      </c>
      <c r="H7" s="139">
        <f>C7+D7-F7</f>
        <v>7.179999999999982</v>
      </c>
      <c r="I7" s="139">
        <f>'[8]Feb 2023'!N7</f>
        <v>700.22199999999975</v>
      </c>
      <c r="J7" s="139">
        <v>14.234999999999999</v>
      </c>
      <c r="K7" s="139">
        <f>'[8]Feb 2023'!K7+'[8]March 2023'!J7</f>
        <v>130.23999999999998</v>
      </c>
      <c r="L7" s="139">
        <v>0</v>
      </c>
      <c r="M7" s="139">
        <f>'[8]Feb 2023'!M7+'[8]March 2023'!L7</f>
        <v>0</v>
      </c>
      <c r="N7" s="139">
        <f>I7+J7-L7</f>
        <v>714.45699999999977</v>
      </c>
      <c r="O7" s="139">
        <f>'[8]Feb 2023'!T7</f>
        <v>8.436000000000007</v>
      </c>
      <c r="P7" s="139">
        <v>0</v>
      </c>
      <c r="Q7" s="139">
        <f>'[8]Feb 2023'!Q7+'[8]March 2023'!P7</f>
        <v>0</v>
      </c>
      <c r="R7" s="139">
        <v>0</v>
      </c>
      <c r="S7" s="139">
        <f>'[8]Feb 2023'!S7+'[8]March 2023'!R7</f>
        <v>1.01</v>
      </c>
      <c r="T7" s="139">
        <f>O7+P7-R7</f>
        <v>8.436000000000007</v>
      </c>
      <c r="U7" s="139">
        <f>H7+N7+T7</f>
        <v>730.07299999999975</v>
      </c>
    </row>
    <row r="8" spans="1:21" ht="38.25" customHeight="1" x14ac:dyDescent="0.35">
      <c r="A8" s="230">
        <v>2</v>
      </c>
      <c r="B8" s="231" t="s">
        <v>79</v>
      </c>
      <c r="C8" s="139">
        <f>'[8]Feb 2023'!H8</f>
        <v>265.44999999999993</v>
      </c>
      <c r="D8" s="139">
        <v>0.54</v>
      </c>
      <c r="E8" s="139">
        <f>'[8]Feb 2023'!E8+'[8]March 2023'!D8</f>
        <v>0.60000000000000009</v>
      </c>
      <c r="F8" s="139">
        <v>0</v>
      </c>
      <c r="G8" s="139">
        <f>'[8]Feb 2023'!G8+'[8]March 2023'!F8</f>
        <v>0</v>
      </c>
      <c r="H8" s="139">
        <f t="shared" ref="H8:H51" si="0">C8+D8-F8</f>
        <v>265.98999999999995</v>
      </c>
      <c r="I8" s="139">
        <f>'[8]Feb 2023'!N8</f>
        <v>390.27100000000007</v>
      </c>
      <c r="J8" s="139">
        <v>7.875</v>
      </c>
      <c r="K8" s="139">
        <f>'[8]Feb 2023'!K8+'[8]March 2023'!J8</f>
        <v>86.165999999999997</v>
      </c>
      <c r="L8" s="139">
        <v>0</v>
      </c>
      <c r="M8" s="139">
        <f>'[8]Feb 2023'!M8+'[8]March 2023'!L8</f>
        <v>0</v>
      </c>
      <c r="N8" s="139">
        <f t="shared" ref="N8:N51" si="1">I8+J8-L8</f>
        <v>398.14600000000007</v>
      </c>
      <c r="O8" s="139">
        <f>'[8]Feb 2023'!T8</f>
        <v>66.290000000000006</v>
      </c>
      <c r="P8" s="139">
        <v>0</v>
      </c>
      <c r="Q8" s="139">
        <f>'[8]Feb 2023'!Q8+'[8]March 2023'!P8</f>
        <v>0</v>
      </c>
      <c r="R8" s="139">
        <v>0</v>
      </c>
      <c r="S8" s="139">
        <f>'[8]Feb 2023'!S8+'[8]March 2023'!R8</f>
        <v>0</v>
      </c>
      <c r="T8" s="139">
        <f t="shared" ref="T8:T51" si="2">O8+P8-R8</f>
        <v>66.290000000000006</v>
      </c>
      <c r="U8" s="139">
        <f t="shared" ref="U8:U51" si="3">H8+N8+T8</f>
        <v>730.42599999999993</v>
      </c>
    </row>
    <row r="9" spans="1:21" ht="38.25" customHeight="1" x14ac:dyDescent="0.35">
      <c r="A9" s="230">
        <v>3</v>
      </c>
      <c r="B9" s="231" t="s">
        <v>80</v>
      </c>
      <c r="C9" s="139">
        <f>'[8]Feb 2023'!H9</f>
        <v>209.16</v>
      </c>
      <c r="D9" s="139">
        <v>0</v>
      </c>
      <c r="E9" s="139">
        <f>'[8]Feb 2023'!E9+'[8]March 2023'!D9</f>
        <v>0</v>
      </c>
      <c r="F9" s="139">
        <v>0</v>
      </c>
      <c r="G9" s="139">
        <f>'[8]Feb 2023'!G9+'[8]March 2023'!F9</f>
        <v>0</v>
      </c>
      <c r="H9" s="139">
        <f t="shared" si="0"/>
        <v>209.16</v>
      </c>
      <c r="I9" s="139">
        <f>'[8]Feb 2023'!N9</f>
        <v>899.88800000000003</v>
      </c>
      <c r="J9" s="139">
        <v>3.36</v>
      </c>
      <c r="K9" s="139">
        <f>'[8]Feb 2023'!K9+'[8]March 2023'!J9</f>
        <v>202.21999999999997</v>
      </c>
      <c r="L9" s="139">
        <v>0</v>
      </c>
      <c r="M9" s="139">
        <f>'[8]Feb 2023'!M9+'[8]March 2023'!L9</f>
        <v>0</v>
      </c>
      <c r="N9" s="139">
        <f t="shared" si="1"/>
        <v>903.24800000000005</v>
      </c>
      <c r="O9" s="139">
        <f>'[8]Feb 2023'!T9</f>
        <v>44.739999999999995</v>
      </c>
      <c r="P9" s="139">
        <v>0</v>
      </c>
      <c r="Q9" s="139">
        <f>'[8]Feb 2023'!Q9+'[8]March 2023'!P9</f>
        <v>0</v>
      </c>
      <c r="R9" s="139">
        <v>0</v>
      </c>
      <c r="S9" s="139">
        <f>'[8]Feb 2023'!S9+'[8]March 2023'!R9</f>
        <v>0</v>
      </c>
      <c r="T9" s="139">
        <f t="shared" si="2"/>
        <v>44.739999999999995</v>
      </c>
      <c r="U9" s="139">
        <f t="shared" si="3"/>
        <v>1157.1480000000001</v>
      </c>
    </row>
    <row r="10" spans="1:21" s="111" customFormat="1" ht="38.25" customHeight="1" x14ac:dyDescent="0.4">
      <c r="A10" s="230">
        <v>4</v>
      </c>
      <c r="B10" s="231" t="s">
        <v>81</v>
      </c>
      <c r="C10" s="139">
        <f>'[8]Feb 2023'!H10</f>
        <v>0</v>
      </c>
      <c r="D10" s="139">
        <v>0</v>
      </c>
      <c r="E10" s="139">
        <f>'[8]Feb 2023'!E10+'[8]March 2023'!D10</f>
        <v>0</v>
      </c>
      <c r="F10" s="139">
        <v>0</v>
      </c>
      <c r="G10" s="139">
        <f>'[8]Feb 2023'!G10+'[8]March 2023'!F10</f>
        <v>0</v>
      </c>
      <c r="H10" s="139">
        <f t="shared" si="0"/>
        <v>0</v>
      </c>
      <c r="I10" s="139">
        <f>'[8]Feb 2023'!N10</f>
        <v>362.3429999999999</v>
      </c>
      <c r="J10" s="139">
        <v>2.63</v>
      </c>
      <c r="K10" s="139">
        <f>'[8]Feb 2023'!K10+'[8]March 2023'!J10</f>
        <v>22.598000000000003</v>
      </c>
      <c r="L10" s="139">
        <v>0</v>
      </c>
      <c r="M10" s="139">
        <f>'[8]Feb 2023'!M10+'[8]March 2023'!L10</f>
        <v>0</v>
      </c>
      <c r="N10" s="139">
        <f t="shared" si="1"/>
        <v>364.9729999999999</v>
      </c>
      <c r="O10" s="139">
        <f>'[8]Feb 2023'!T10</f>
        <v>0.20000000000000007</v>
      </c>
      <c r="P10" s="139">
        <v>0</v>
      </c>
      <c r="Q10" s="139">
        <f>'[8]Feb 2023'!Q10+'[8]March 2023'!P10</f>
        <v>0</v>
      </c>
      <c r="R10" s="139">
        <v>0</v>
      </c>
      <c r="S10" s="139">
        <f>'[8]Feb 2023'!S10+'[8]March 2023'!R10</f>
        <v>0</v>
      </c>
      <c r="T10" s="139">
        <f t="shared" si="2"/>
        <v>0.20000000000000007</v>
      </c>
      <c r="U10" s="139">
        <f t="shared" si="3"/>
        <v>365.17299999999989</v>
      </c>
    </row>
    <row r="11" spans="1:21" s="111" customFormat="1" ht="38.25" customHeight="1" x14ac:dyDescent="0.4">
      <c r="A11" s="308" t="s">
        <v>82</v>
      </c>
      <c r="B11" s="309"/>
      <c r="C11" s="141">
        <f>SUM(C7:C10)</f>
        <v>481.78999999999996</v>
      </c>
      <c r="D11" s="141">
        <f t="shared" ref="D11:S11" si="4">SUM(D7:D10)</f>
        <v>0.54</v>
      </c>
      <c r="E11" s="141">
        <f t="shared" si="4"/>
        <v>0.60000000000000009</v>
      </c>
      <c r="F11" s="141">
        <f t="shared" si="4"/>
        <v>0</v>
      </c>
      <c r="G11" s="141">
        <f t="shared" si="4"/>
        <v>82.86</v>
      </c>
      <c r="H11" s="141">
        <f t="shared" si="0"/>
        <v>482.33</v>
      </c>
      <c r="I11" s="141">
        <f t="shared" si="4"/>
        <v>2352.7239999999997</v>
      </c>
      <c r="J11" s="141">
        <f t="shared" si="4"/>
        <v>28.099999999999998</v>
      </c>
      <c r="K11" s="141">
        <f t="shared" si="4"/>
        <v>441.22399999999999</v>
      </c>
      <c r="L11" s="141">
        <f t="shared" si="4"/>
        <v>0</v>
      </c>
      <c r="M11" s="141">
        <f t="shared" si="4"/>
        <v>0</v>
      </c>
      <c r="N11" s="141">
        <f t="shared" si="1"/>
        <v>2380.8239999999996</v>
      </c>
      <c r="O11" s="141">
        <f t="shared" si="4"/>
        <v>119.66600000000001</v>
      </c>
      <c r="P11" s="141">
        <f t="shared" si="4"/>
        <v>0</v>
      </c>
      <c r="Q11" s="141">
        <f t="shared" si="4"/>
        <v>0</v>
      </c>
      <c r="R11" s="141">
        <f t="shared" si="4"/>
        <v>0</v>
      </c>
      <c r="S11" s="141">
        <f t="shared" si="4"/>
        <v>1.01</v>
      </c>
      <c r="T11" s="141">
        <f t="shared" si="2"/>
        <v>119.66600000000001</v>
      </c>
      <c r="U11" s="141">
        <f t="shared" si="3"/>
        <v>2982.8199999999997</v>
      </c>
    </row>
    <row r="12" spans="1:21" ht="38.25" customHeight="1" x14ac:dyDescent="0.35">
      <c r="A12" s="171">
        <v>4</v>
      </c>
      <c r="B12" s="231" t="s">
        <v>83</v>
      </c>
      <c r="C12" s="139">
        <f>'[8]Feb 2023'!H12</f>
        <v>22.179999999999609</v>
      </c>
      <c r="D12" s="139">
        <v>0</v>
      </c>
      <c r="E12" s="139">
        <f>'[8]Feb 2023'!E12+'[8]March 2023'!D12</f>
        <v>0</v>
      </c>
      <c r="F12" s="139">
        <v>0</v>
      </c>
      <c r="G12" s="139">
        <f>'[8]Feb 2023'!G12+'[8]March 2023'!F12</f>
        <v>333.13</v>
      </c>
      <c r="H12" s="139">
        <f t="shared" si="0"/>
        <v>22.179999999999609</v>
      </c>
      <c r="I12" s="139">
        <f>'[8]Feb 2023'!N12</f>
        <v>1274.1549999999997</v>
      </c>
      <c r="J12" s="221">
        <v>2.2799999999999998</v>
      </c>
      <c r="K12" s="139">
        <f>'[8]Feb 2023'!K12+'[8]March 2023'!J12</f>
        <v>471.7299999999999</v>
      </c>
      <c r="L12" s="139">
        <v>0</v>
      </c>
      <c r="M12" s="139">
        <f>'[8]Feb 2023'!M12+'[8]March 2023'!L12</f>
        <v>0</v>
      </c>
      <c r="N12" s="139">
        <f t="shared" si="1"/>
        <v>1276.4349999999997</v>
      </c>
      <c r="O12" s="139">
        <f>'[8]Feb 2023'!T12</f>
        <v>1.9700000000000095</v>
      </c>
      <c r="P12" s="139">
        <v>0</v>
      </c>
      <c r="Q12" s="139">
        <f>'[8]Feb 2023'!Q12+'[8]March 2023'!P12</f>
        <v>2.11</v>
      </c>
      <c r="R12" s="139">
        <v>0</v>
      </c>
      <c r="S12" s="139">
        <f>'[8]Feb 2023'!S12+'[8]March 2023'!R12</f>
        <v>36.99</v>
      </c>
      <c r="T12" s="139">
        <f t="shared" si="2"/>
        <v>1.9700000000000095</v>
      </c>
      <c r="U12" s="139">
        <f t="shared" si="3"/>
        <v>1300.5849999999994</v>
      </c>
    </row>
    <row r="13" spans="1:21" ht="38.25" customHeight="1" x14ac:dyDescent="0.35">
      <c r="A13" s="171">
        <v>5</v>
      </c>
      <c r="B13" s="231" t="s">
        <v>84</v>
      </c>
      <c r="C13" s="139">
        <f>'[8]Feb 2023'!H13</f>
        <v>312.23000000000013</v>
      </c>
      <c r="D13" s="139">
        <v>0</v>
      </c>
      <c r="E13" s="139">
        <f>'[8]Feb 2023'!E13+'[8]March 2023'!D13</f>
        <v>0</v>
      </c>
      <c r="F13" s="139">
        <v>0</v>
      </c>
      <c r="G13" s="139">
        <f>'[8]Feb 2023'!G13+'[8]March 2023'!F13</f>
        <v>0</v>
      </c>
      <c r="H13" s="139">
        <f t="shared" si="0"/>
        <v>312.23000000000013</v>
      </c>
      <c r="I13" s="139">
        <f>'[8]Feb 2023'!N13</f>
        <v>544.11200000000019</v>
      </c>
      <c r="J13" s="221">
        <v>1.42</v>
      </c>
      <c r="K13" s="139">
        <f>'[8]Feb 2023'!K13+'[8]March 2023'!J13</f>
        <v>17.700000000000003</v>
      </c>
      <c r="L13" s="139">
        <v>0</v>
      </c>
      <c r="M13" s="139">
        <f>'[8]Feb 2023'!M13+'[8]March 2023'!L13</f>
        <v>0.7</v>
      </c>
      <c r="N13" s="139">
        <f t="shared" si="1"/>
        <v>545.53200000000015</v>
      </c>
      <c r="O13" s="139">
        <f>'[8]Feb 2023'!T13</f>
        <v>68.39</v>
      </c>
      <c r="P13" s="139">
        <v>0</v>
      </c>
      <c r="Q13" s="139">
        <f>'[8]Feb 2023'!Q13+'[8]March 2023'!P13</f>
        <v>0</v>
      </c>
      <c r="R13" s="139">
        <v>0</v>
      </c>
      <c r="S13" s="139">
        <f>'[8]Feb 2023'!S13+'[8]March 2023'!R13</f>
        <v>0</v>
      </c>
      <c r="T13" s="139">
        <f t="shared" si="2"/>
        <v>68.39</v>
      </c>
      <c r="U13" s="139">
        <f t="shared" si="3"/>
        <v>926.15200000000027</v>
      </c>
    </row>
    <row r="14" spans="1:21" s="111" customFormat="1" ht="38.25" customHeight="1" x14ac:dyDescent="0.4">
      <c r="A14" s="171">
        <v>6</v>
      </c>
      <c r="B14" s="231" t="s">
        <v>85</v>
      </c>
      <c r="C14" s="139">
        <f>'[8]Feb 2023'!H14</f>
        <v>1216.4399999999994</v>
      </c>
      <c r="D14" s="139">
        <v>0</v>
      </c>
      <c r="E14" s="139">
        <f>'[8]Feb 2023'!E14+'[8]March 2023'!D14</f>
        <v>0</v>
      </c>
      <c r="F14" s="139">
        <v>0</v>
      </c>
      <c r="G14" s="139">
        <f>'[8]Feb 2023'!G14+'[8]March 2023'!F14</f>
        <v>0</v>
      </c>
      <c r="H14" s="139">
        <f t="shared" si="0"/>
        <v>1216.4399999999994</v>
      </c>
      <c r="I14" s="139">
        <f>'[8]Feb 2023'!N14</f>
        <v>901.30800000000022</v>
      </c>
      <c r="J14" s="221">
        <v>2.19</v>
      </c>
      <c r="K14" s="139">
        <f>'[8]Feb 2023'!K14+'[8]March 2023'!J14</f>
        <v>38.709999999999994</v>
      </c>
      <c r="L14" s="139">
        <v>0</v>
      </c>
      <c r="M14" s="139">
        <f>'[8]Feb 2023'!M14+'[8]March 2023'!L14</f>
        <v>0</v>
      </c>
      <c r="N14" s="139">
        <f t="shared" si="1"/>
        <v>903.49800000000027</v>
      </c>
      <c r="O14" s="139">
        <f>'[8]Feb 2023'!T14</f>
        <v>61.329999999999991</v>
      </c>
      <c r="P14" s="139">
        <v>0</v>
      </c>
      <c r="Q14" s="139">
        <f>'[8]Feb 2023'!Q14+'[8]March 2023'!P14</f>
        <v>0</v>
      </c>
      <c r="R14" s="139">
        <v>0</v>
      </c>
      <c r="S14" s="139">
        <f>'[8]Feb 2023'!S14+'[8]March 2023'!R14</f>
        <v>0</v>
      </c>
      <c r="T14" s="139">
        <f t="shared" si="2"/>
        <v>61.329999999999991</v>
      </c>
      <c r="U14" s="139">
        <f t="shared" si="3"/>
        <v>2181.2679999999996</v>
      </c>
    </row>
    <row r="15" spans="1:21" s="111" customFormat="1" ht="38.25" customHeight="1" x14ac:dyDescent="0.4">
      <c r="A15" s="308" t="s">
        <v>86</v>
      </c>
      <c r="B15" s="309"/>
      <c r="C15" s="141">
        <f>SUM(C12:C14)</f>
        <v>1550.849999999999</v>
      </c>
      <c r="D15" s="141">
        <f t="shared" ref="D15:S15" si="5">SUM(D12:D14)</f>
        <v>0</v>
      </c>
      <c r="E15" s="141">
        <f t="shared" si="5"/>
        <v>0</v>
      </c>
      <c r="F15" s="141">
        <f t="shared" si="5"/>
        <v>0</v>
      </c>
      <c r="G15" s="141">
        <f t="shared" si="5"/>
        <v>333.13</v>
      </c>
      <c r="H15" s="141">
        <f t="shared" si="0"/>
        <v>1550.849999999999</v>
      </c>
      <c r="I15" s="141">
        <f t="shared" si="5"/>
        <v>2719.5749999999998</v>
      </c>
      <c r="J15" s="141">
        <f t="shared" si="5"/>
        <v>5.89</v>
      </c>
      <c r="K15" s="141">
        <f t="shared" si="5"/>
        <v>528.13999999999987</v>
      </c>
      <c r="L15" s="141">
        <f t="shared" si="5"/>
        <v>0</v>
      </c>
      <c r="M15" s="141">
        <f t="shared" si="5"/>
        <v>0.7</v>
      </c>
      <c r="N15" s="141">
        <f t="shared" si="1"/>
        <v>2725.4649999999997</v>
      </c>
      <c r="O15" s="141">
        <f t="shared" si="5"/>
        <v>131.69</v>
      </c>
      <c r="P15" s="141">
        <f t="shared" si="5"/>
        <v>0</v>
      </c>
      <c r="Q15" s="141">
        <f t="shared" si="5"/>
        <v>2.11</v>
      </c>
      <c r="R15" s="141">
        <f t="shared" si="5"/>
        <v>0</v>
      </c>
      <c r="S15" s="141">
        <f t="shared" si="5"/>
        <v>36.99</v>
      </c>
      <c r="T15" s="141">
        <f t="shared" si="2"/>
        <v>131.69</v>
      </c>
      <c r="U15" s="141">
        <f t="shared" si="3"/>
        <v>4408.0049999999983</v>
      </c>
    </row>
    <row r="16" spans="1:21" s="112" customFormat="1" ht="38.25" customHeight="1" x14ac:dyDescent="0.35">
      <c r="A16" s="171">
        <v>8</v>
      </c>
      <c r="B16" s="231" t="s">
        <v>88</v>
      </c>
      <c r="C16" s="139">
        <f>'[8]Feb 2023'!H16</f>
        <v>759.62400000000036</v>
      </c>
      <c r="D16" s="139">
        <v>0.55000000000000004</v>
      </c>
      <c r="E16" s="139">
        <f>'[8]Feb 2023'!E16+'[8]March 2023'!D16</f>
        <v>10.060000000000002</v>
      </c>
      <c r="F16" s="139">
        <v>4.01</v>
      </c>
      <c r="G16" s="139">
        <f>'[8]Feb 2023'!G16+'[8]March 2023'!F16</f>
        <v>247.73999999999998</v>
      </c>
      <c r="H16" s="139">
        <f t="shared" si="0"/>
        <v>756.16400000000033</v>
      </c>
      <c r="I16" s="139">
        <f>'[8]Feb 2023'!N16</f>
        <v>576.4860000000001</v>
      </c>
      <c r="J16" s="139">
        <v>0.49</v>
      </c>
      <c r="K16" s="139">
        <f>'[8]Feb 2023'!K16+'[8]March 2023'!J16</f>
        <v>277.92999999999995</v>
      </c>
      <c r="L16" s="139">
        <v>0</v>
      </c>
      <c r="M16" s="139">
        <f>'[8]Feb 2023'!M16+'[8]March 2023'!L16</f>
        <v>0</v>
      </c>
      <c r="N16" s="139">
        <f t="shared" si="1"/>
        <v>576.97600000000011</v>
      </c>
      <c r="O16" s="139">
        <f>'[8]Feb 2023'!T16</f>
        <v>177.44200000000004</v>
      </c>
      <c r="P16" s="139">
        <v>0</v>
      </c>
      <c r="Q16" s="139">
        <f>'[8]Feb 2023'!Q16+'[8]March 2023'!P16</f>
        <v>0.03</v>
      </c>
      <c r="R16" s="139">
        <v>0</v>
      </c>
      <c r="S16" s="139">
        <f>'[8]Feb 2023'!S16+'[8]March 2023'!R16</f>
        <v>0</v>
      </c>
      <c r="T16" s="139">
        <f t="shared" si="2"/>
        <v>177.44200000000004</v>
      </c>
      <c r="U16" s="139">
        <f t="shared" si="3"/>
        <v>1510.5820000000003</v>
      </c>
    </row>
    <row r="17" spans="1:21" ht="38.25" customHeight="1" x14ac:dyDescent="0.35">
      <c r="A17" s="171">
        <v>9</v>
      </c>
      <c r="B17" s="231" t="s">
        <v>120</v>
      </c>
      <c r="C17" s="139">
        <f>'[8]Feb 2023'!H17</f>
        <v>2.6759999999999478</v>
      </c>
      <c r="D17" s="139">
        <v>0</v>
      </c>
      <c r="E17" s="139">
        <f>'[8]Feb 2023'!E17+'[8]March 2023'!D17</f>
        <v>0</v>
      </c>
      <c r="F17" s="139">
        <v>0</v>
      </c>
      <c r="G17" s="139">
        <f>'[8]Feb 2023'!G17+'[8]March 2023'!F17</f>
        <v>3.74</v>
      </c>
      <c r="H17" s="139">
        <f t="shared" si="0"/>
        <v>2.6759999999999478</v>
      </c>
      <c r="I17" s="139">
        <f>'[8]Feb 2023'!N17</f>
        <v>586.49</v>
      </c>
      <c r="J17" s="139">
        <v>2.63</v>
      </c>
      <c r="K17" s="139">
        <f>'[8]Feb 2023'!K17+'[8]March 2023'!J17</f>
        <v>77.37</v>
      </c>
      <c r="L17" s="139">
        <v>0</v>
      </c>
      <c r="M17" s="139">
        <f>'[8]Feb 2023'!M17+'[8]March 2023'!L17</f>
        <v>0</v>
      </c>
      <c r="N17" s="139">
        <f t="shared" si="1"/>
        <v>589.12</v>
      </c>
      <c r="O17" s="139">
        <f>'[8]Feb 2023'!T17</f>
        <v>1.9500000000000002</v>
      </c>
      <c r="P17" s="139">
        <v>0</v>
      </c>
      <c r="Q17" s="139">
        <f>'[8]Feb 2023'!Q17+'[8]March 2023'!P17</f>
        <v>1.3399999999999999</v>
      </c>
      <c r="R17" s="139">
        <v>0</v>
      </c>
      <c r="S17" s="139">
        <f>'[8]Feb 2023'!S17+'[8]March 2023'!R17</f>
        <v>5.72</v>
      </c>
      <c r="T17" s="139">
        <f t="shared" si="2"/>
        <v>1.9500000000000002</v>
      </c>
      <c r="U17" s="139">
        <f t="shared" si="3"/>
        <v>593.74599999999998</v>
      </c>
    </row>
    <row r="18" spans="1:21" s="111" customFormat="1" ht="38.25" customHeight="1" x14ac:dyDescent="0.4">
      <c r="A18" s="171">
        <v>10</v>
      </c>
      <c r="B18" s="231" t="s">
        <v>87</v>
      </c>
      <c r="C18" s="139">
        <f>'[8]Feb 2023'!H18</f>
        <v>90.316000000000145</v>
      </c>
      <c r="D18" s="139">
        <v>0.05</v>
      </c>
      <c r="E18" s="139">
        <f>'[8]Feb 2023'!E18+'[8]March 2023'!D18</f>
        <v>1.4500000000000002</v>
      </c>
      <c r="F18" s="139">
        <v>0.1</v>
      </c>
      <c r="G18" s="139">
        <f>'[8]Feb 2023'!G18+'[8]March 2023'!F18</f>
        <v>46.96</v>
      </c>
      <c r="H18" s="139">
        <f t="shared" si="0"/>
        <v>90.266000000000147</v>
      </c>
      <c r="I18" s="139">
        <f>'[8]Feb 2023'!N18</f>
        <v>617.27700000000004</v>
      </c>
      <c r="J18" s="139">
        <v>0.318</v>
      </c>
      <c r="K18" s="139">
        <f>'[8]Feb 2023'!K18+'[8]March 2023'!J18</f>
        <v>132.398</v>
      </c>
      <c r="L18" s="139">
        <v>0.3</v>
      </c>
      <c r="M18" s="139">
        <f>'[8]Feb 2023'!M18+'[8]March 2023'!L18</f>
        <v>0.64</v>
      </c>
      <c r="N18" s="139">
        <f t="shared" si="1"/>
        <v>617.29500000000007</v>
      </c>
      <c r="O18" s="139">
        <f>'[8]Feb 2023'!T18</f>
        <v>35.689999999999991</v>
      </c>
      <c r="P18" s="139">
        <v>0</v>
      </c>
      <c r="Q18" s="139">
        <f>'[8]Feb 2023'!Q18+'[8]March 2023'!P18</f>
        <v>0.89999999999999991</v>
      </c>
      <c r="R18" s="139">
        <v>0</v>
      </c>
      <c r="S18" s="139">
        <f>'[8]Feb 2023'!S18+'[8]March 2023'!R18</f>
        <v>4.08</v>
      </c>
      <c r="T18" s="139">
        <f t="shared" si="2"/>
        <v>35.689999999999991</v>
      </c>
      <c r="U18" s="139">
        <f t="shared" si="3"/>
        <v>743.2510000000002</v>
      </c>
    </row>
    <row r="19" spans="1:21" s="111" customFormat="1" ht="38.25" customHeight="1" x14ac:dyDescent="0.4">
      <c r="A19" s="308" t="s">
        <v>89</v>
      </c>
      <c r="B19" s="309"/>
      <c r="C19" s="141">
        <f>SUM(C16:C18)</f>
        <v>852.61600000000044</v>
      </c>
      <c r="D19" s="141">
        <f t="shared" ref="D19:S19" si="6">SUM(D16:D18)</f>
        <v>0.60000000000000009</v>
      </c>
      <c r="E19" s="141">
        <f t="shared" si="6"/>
        <v>11.510000000000002</v>
      </c>
      <c r="F19" s="141">
        <f t="shared" si="6"/>
        <v>4.1099999999999994</v>
      </c>
      <c r="G19" s="141">
        <f t="shared" si="6"/>
        <v>298.44</v>
      </c>
      <c r="H19" s="141">
        <f t="shared" si="0"/>
        <v>849.10600000000045</v>
      </c>
      <c r="I19" s="141">
        <f t="shared" si="6"/>
        <v>1780.2530000000002</v>
      </c>
      <c r="J19" s="141">
        <f t="shared" si="6"/>
        <v>3.4380000000000002</v>
      </c>
      <c r="K19" s="141">
        <f t="shared" si="6"/>
        <v>487.69799999999998</v>
      </c>
      <c r="L19" s="141">
        <f t="shared" si="6"/>
        <v>0.3</v>
      </c>
      <c r="M19" s="141">
        <f t="shared" si="6"/>
        <v>0.64</v>
      </c>
      <c r="N19" s="141">
        <f t="shared" si="1"/>
        <v>1783.3910000000003</v>
      </c>
      <c r="O19" s="141">
        <f t="shared" si="6"/>
        <v>215.08200000000002</v>
      </c>
      <c r="P19" s="141">
        <f t="shared" si="6"/>
        <v>0</v>
      </c>
      <c r="Q19" s="141">
        <f t="shared" si="6"/>
        <v>2.2699999999999996</v>
      </c>
      <c r="R19" s="141">
        <f t="shared" si="6"/>
        <v>0</v>
      </c>
      <c r="S19" s="141">
        <f t="shared" si="6"/>
        <v>9.8000000000000007</v>
      </c>
      <c r="T19" s="141">
        <f t="shared" si="2"/>
        <v>215.08200000000002</v>
      </c>
      <c r="U19" s="141">
        <f t="shared" si="3"/>
        <v>2847.5790000000006</v>
      </c>
    </row>
    <row r="20" spans="1:21" ht="38.25" customHeight="1" x14ac:dyDescent="0.35">
      <c r="A20" s="171">
        <v>8</v>
      </c>
      <c r="B20" s="231" t="s">
        <v>91</v>
      </c>
      <c r="C20" s="139">
        <f>'[8]Feb 2023'!H20</f>
        <v>607.42999999999984</v>
      </c>
      <c r="D20" s="139">
        <v>0</v>
      </c>
      <c r="E20" s="139">
        <f>'[8]Feb 2023'!E20+'[8]March 2023'!D20</f>
        <v>1.77</v>
      </c>
      <c r="F20" s="139">
        <v>0</v>
      </c>
      <c r="G20" s="139">
        <f>'[8]Feb 2023'!G20+'[8]March 2023'!F20</f>
        <v>24.91</v>
      </c>
      <c r="H20" s="139">
        <f t="shared" si="0"/>
        <v>607.42999999999984</v>
      </c>
      <c r="I20" s="139">
        <f>'[8]Feb 2023'!N20</f>
        <v>735.88800000000026</v>
      </c>
      <c r="J20" s="139">
        <v>12.52</v>
      </c>
      <c r="K20" s="139">
        <f>'[8]Feb 2023'!K20+'[8]March 2023'!J20</f>
        <v>350.26</v>
      </c>
      <c r="L20" s="139">
        <v>0</v>
      </c>
      <c r="M20" s="139">
        <f>'[8]Feb 2023'!M20+'[8]March 2023'!L20</f>
        <v>1.04</v>
      </c>
      <c r="N20" s="139">
        <f t="shared" si="1"/>
        <v>748.40800000000024</v>
      </c>
      <c r="O20" s="139">
        <f>'[8]Feb 2023'!T20</f>
        <v>37.580000000000005</v>
      </c>
      <c r="P20" s="139">
        <v>0</v>
      </c>
      <c r="Q20" s="139">
        <f>'[8]Feb 2023'!Q20+'[8]March 2023'!P20</f>
        <v>0</v>
      </c>
      <c r="R20" s="139">
        <v>0</v>
      </c>
      <c r="S20" s="139">
        <f>'[8]Feb 2023'!S20+'[8]March 2023'!R20</f>
        <v>2.77</v>
      </c>
      <c r="T20" s="139">
        <f t="shared" si="2"/>
        <v>37.580000000000005</v>
      </c>
      <c r="U20" s="139">
        <f t="shared" si="3"/>
        <v>1393.4180000000001</v>
      </c>
    </row>
    <row r="21" spans="1:21" ht="38.25" customHeight="1" x14ac:dyDescent="0.35">
      <c r="A21" s="171">
        <v>9</v>
      </c>
      <c r="B21" s="231" t="s">
        <v>90</v>
      </c>
      <c r="C21" s="139">
        <f>'[8]Feb 2023'!H21</f>
        <v>2.0700000000000003</v>
      </c>
      <c r="D21" s="139">
        <v>0</v>
      </c>
      <c r="E21" s="139">
        <f>'[8]Feb 2023'!E21+'[8]March 2023'!D21</f>
        <v>0</v>
      </c>
      <c r="F21" s="139">
        <v>0</v>
      </c>
      <c r="G21" s="139">
        <f>'[8]Feb 2023'!G21+'[8]March 2023'!F21</f>
        <v>20.440000000000001</v>
      </c>
      <c r="H21" s="139">
        <f t="shared" si="0"/>
        <v>2.0700000000000003</v>
      </c>
      <c r="I21" s="139">
        <f>'[8]Feb 2023'!N21</f>
        <v>460.25700000000006</v>
      </c>
      <c r="J21" s="139">
        <v>1.17</v>
      </c>
      <c r="K21" s="139">
        <f>'[8]Feb 2023'!K21+'[8]March 2023'!J21</f>
        <v>63.31</v>
      </c>
      <c r="L21" s="139">
        <v>0</v>
      </c>
      <c r="M21" s="139">
        <f>'[8]Feb 2023'!M21+'[8]March 2023'!L21</f>
        <v>0</v>
      </c>
      <c r="N21" s="139">
        <f t="shared" si="1"/>
        <v>461.42700000000008</v>
      </c>
      <c r="O21" s="139">
        <f>'[8]Feb 2023'!T21</f>
        <v>18.289999999999996</v>
      </c>
      <c r="P21" s="139">
        <v>1.2</v>
      </c>
      <c r="Q21" s="139">
        <f>'[8]Feb 2023'!Q21+'[8]March 2023'!P21</f>
        <v>1.3199999999999998</v>
      </c>
      <c r="R21" s="139">
        <v>0.6</v>
      </c>
      <c r="S21" s="139">
        <f>'[8]Feb 2023'!S21+'[8]March 2023'!R21</f>
        <v>1.7999999999999998</v>
      </c>
      <c r="T21" s="139">
        <f t="shared" si="2"/>
        <v>18.889999999999993</v>
      </c>
      <c r="U21" s="139">
        <f t="shared" si="3"/>
        <v>482.38700000000006</v>
      </c>
    </row>
    <row r="22" spans="1:21" s="111" customFormat="1" ht="38.25" customHeight="1" x14ac:dyDescent="0.4">
      <c r="A22" s="171">
        <v>10</v>
      </c>
      <c r="B22" s="231" t="s">
        <v>92</v>
      </c>
      <c r="C22" s="139">
        <f>'[8]Feb 2023'!H22</f>
        <v>22.430000000000021</v>
      </c>
      <c r="D22" s="139">
        <v>0</v>
      </c>
      <c r="E22" s="139">
        <f>'[8]Feb 2023'!E22+'[8]March 2023'!D22</f>
        <v>0</v>
      </c>
      <c r="F22" s="139">
        <v>0</v>
      </c>
      <c r="G22" s="139">
        <f>'[8]Feb 2023'!G22+'[8]March 2023'!F22</f>
        <v>0</v>
      </c>
      <c r="H22" s="139">
        <f t="shared" si="0"/>
        <v>22.430000000000021</v>
      </c>
      <c r="I22" s="139">
        <f>'[8]Feb 2023'!N22</f>
        <v>697.92000000000019</v>
      </c>
      <c r="J22" s="139">
        <v>0.3</v>
      </c>
      <c r="K22" s="139">
        <f>'[8]Feb 2023'!K22+'[8]March 2023'!J22</f>
        <v>9.3299999999999983</v>
      </c>
      <c r="L22" s="139">
        <v>0</v>
      </c>
      <c r="M22" s="139">
        <f>'[8]Feb 2023'!M22+'[8]March 2023'!L22</f>
        <v>0.08</v>
      </c>
      <c r="N22" s="139">
        <f t="shared" si="1"/>
        <v>698.22000000000014</v>
      </c>
      <c r="O22" s="139">
        <f>'[8]Feb 2023'!T22</f>
        <v>0.60000000000000098</v>
      </c>
      <c r="P22" s="139">
        <v>0</v>
      </c>
      <c r="Q22" s="139">
        <f>'[8]Feb 2023'!Q22+'[8]March 2023'!P22</f>
        <v>0</v>
      </c>
      <c r="R22" s="139">
        <v>0</v>
      </c>
      <c r="S22" s="139">
        <f>'[8]Feb 2023'!S22+'[8]March 2023'!R22</f>
        <v>0</v>
      </c>
      <c r="T22" s="139">
        <f t="shared" si="2"/>
        <v>0.60000000000000098</v>
      </c>
      <c r="U22" s="139">
        <f t="shared" si="3"/>
        <v>721.25000000000023</v>
      </c>
    </row>
    <row r="23" spans="1:21" s="111" customFormat="1" ht="38.25" customHeight="1" x14ac:dyDescent="0.4">
      <c r="A23" s="171">
        <v>11</v>
      </c>
      <c r="B23" s="231" t="s">
        <v>93</v>
      </c>
      <c r="C23" s="139">
        <f>'[8]Feb 2023'!H23</f>
        <v>430.64</v>
      </c>
      <c r="D23" s="139">
        <v>0</v>
      </c>
      <c r="E23" s="139">
        <f>'[8]Feb 2023'!E23+'[8]March 2023'!D23</f>
        <v>3.4</v>
      </c>
      <c r="F23" s="139">
        <v>0</v>
      </c>
      <c r="G23" s="139">
        <f>'[8]Feb 2023'!G23+'[8]March 2023'!F23</f>
        <v>0</v>
      </c>
      <c r="H23" s="139">
        <f t="shared" si="0"/>
        <v>430.64</v>
      </c>
      <c r="I23" s="139">
        <f>'[8]Feb 2023'!N23</f>
        <v>137.83499999999998</v>
      </c>
      <c r="J23" s="139">
        <v>1.72</v>
      </c>
      <c r="K23" s="139">
        <f>'[8]Feb 2023'!K23+'[8]March 2023'!J23</f>
        <v>37.67</v>
      </c>
      <c r="L23" s="139">
        <v>0</v>
      </c>
      <c r="M23" s="139">
        <f>'[8]Feb 2023'!M23+'[8]March 2023'!L23</f>
        <v>0</v>
      </c>
      <c r="N23" s="139">
        <f t="shared" si="1"/>
        <v>139.55499999999998</v>
      </c>
      <c r="O23" s="139">
        <f>'[8]Feb 2023'!T23</f>
        <v>22.5</v>
      </c>
      <c r="P23" s="139">
        <v>0</v>
      </c>
      <c r="Q23" s="139">
        <f>'[8]Feb 2023'!Q23+'[8]March 2023'!P23</f>
        <v>0</v>
      </c>
      <c r="R23" s="139">
        <v>0</v>
      </c>
      <c r="S23" s="139">
        <f>'[8]Feb 2023'!S23+'[8]March 2023'!R23</f>
        <v>0</v>
      </c>
      <c r="T23" s="139">
        <f t="shared" si="2"/>
        <v>22.5</v>
      </c>
      <c r="U23" s="139">
        <f t="shared" si="3"/>
        <v>592.69499999999994</v>
      </c>
    </row>
    <row r="24" spans="1:21" s="111" customFormat="1" ht="38.25" customHeight="1" x14ac:dyDescent="0.4">
      <c r="A24" s="313" t="s">
        <v>94</v>
      </c>
      <c r="B24" s="313"/>
      <c r="C24" s="141">
        <f>SUM(C20:C23)</f>
        <v>1062.57</v>
      </c>
      <c r="D24" s="141">
        <f t="shared" ref="D24:S24" si="7">SUM(D20:D23)</f>
        <v>0</v>
      </c>
      <c r="E24" s="141">
        <f t="shared" si="7"/>
        <v>5.17</v>
      </c>
      <c r="F24" s="141">
        <f t="shared" si="7"/>
        <v>0</v>
      </c>
      <c r="G24" s="141">
        <f t="shared" si="7"/>
        <v>45.35</v>
      </c>
      <c r="H24" s="141">
        <f t="shared" si="0"/>
        <v>1062.57</v>
      </c>
      <c r="I24" s="141">
        <f t="shared" si="7"/>
        <v>2031.9000000000005</v>
      </c>
      <c r="J24" s="141">
        <f t="shared" si="7"/>
        <v>15.71</v>
      </c>
      <c r="K24" s="141">
        <f t="shared" si="7"/>
        <v>460.57</v>
      </c>
      <c r="L24" s="141">
        <f t="shared" si="7"/>
        <v>0</v>
      </c>
      <c r="M24" s="141">
        <f t="shared" si="7"/>
        <v>1.1200000000000001</v>
      </c>
      <c r="N24" s="141">
        <f t="shared" si="1"/>
        <v>2047.6100000000006</v>
      </c>
      <c r="O24" s="141">
        <f t="shared" si="7"/>
        <v>78.97</v>
      </c>
      <c r="P24" s="141">
        <f t="shared" si="7"/>
        <v>1.2</v>
      </c>
      <c r="Q24" s="141">
        <f t="shared" si="7"/>
        <v>1.3199999999999998</v>
      </c>
      <c r="R24" s="141">
        <f t="shared" si="7"/>
        <v>0.6</v>
      </c>
      <c r="S24" s="141">
        <f t="shared" si="7"/>
        <v>4.57</v>
      </c>
      <c r="T24" s="141">
        <f t="shared" si="2"/>
        <v>79.570000000000007</v>
      </c>
      <c r="U24" s="141">
        <f t="shared" si="3"/>
        <v>3189.7500000000005</v>
      </c>
    </row>
    <row r="25" spans="1:21" s="145" customFormat="1" ht="38.25" customHeight="1" x14ac:dyDescent="0.4">
      <c r="A25" s="308" t="s">
        <v>95</v>
      </c>
      <c r="B25" s="309"/>
      <c r="C25" s="141">
        <f>C24+C19+C15+C11</f>
        <v>3947.8259999999991</v>
      </c>
      <c r="D25" s="141">
        <f t="shared" ref="D25:S25" si="8">D24+D19+D15+D11</f>
        <v>1.1400000000000001</v>
      </c>
      <c r="E25" s="141">
        <f t="shared" si="8"/>
        <v>17.28</v>
      </c>
      <c r="F25" s="141">
        <f t="shared" si="8"/>
        <v>4.1099999999999994</v>
      </c>
      <c r="G25" s="141">
        <f t="shared" si="8"/>
        <v>759.78000000000009</v>
      </c>
      <c r="H25" s="141">
        <f t="shared" si="0"/>
        <v>3944.8559999999989</v>
      </c>
      <c r="I25" s="141">
        <f t="shared" si="8"/>
        <v>8884.4520000000011</v>
      </c>
      <c r="J25" s="141">
        <f t="shared" si="8"/>
        <v>53.137999999999998</v>
      </c>
      <c r="K25" s="141">
        <f t="shared" si="8"/>
        <v>1917.6319999999998</v>
      </c>
      <c r="L25" s="141">
        <f t="shared" si="8"/>
        <v>0.3</v>
      </c>
      <c r="M25" s="141">
        <f t="shared" si="8"/>
        <v>2.46</v>
      </c>
      <c r="N25" s="141">
        <f t="shared" si="1"/>
        <v>8937.2900000000027</v>
      </c>
      <c r="O25" s="141">
        <f t="shared" si="8"/>
        <v>545.40800000000002</v>
      </c>
      <c r="P25" s="141">
        <f t="shared" si="8"/>
        <v>1.2</v>
      </c>
      <c r="Q25" s="141">
        <f t="shared" si="8"/>
        <v>5.6999999999999993</v>
      </c>
      <c r="R25" s="141">
        <f t="shared" si="8"/>
        <v>0.6</v>
      </c>
      <c r="S25" s="141">
        <f t="shared" si="8"/>
        <v>52.37</v>
      </c>
      <c r="T25" s="141">
        <f t="shared" si="2"/>
        <v>546.00800000000004</v>
      </c>
      <c r="U25" s="141">
        <f t="shared" si="3"/>
        <v>13428.154</v>
      </c>
    </row>
    <row r="26" spans="1:21" ht="38.25" customHeight="1" x14ac:dyDescent="0.35">
      <c r="A26" s="171">
        <v>15</v>
      </c>
      <c r="B26" s="231" t="s">
        <v>96</v>
      </c>
      <c r="C26" s="139">
        <f>'[8]Feb 2023'!H26</f>
        <v>1606.24</v>
      </c>
      <c r="D26" s="139">
        <v>22.05</v>
      </c>
      <c r="E26" s="139">
        <f>'[8]Feb 2023'!E26+'[8]March 2023'!D26</f>
        <v>75.309999999999988</v>
      </c>
      <c r="F26" s="139">
        <v>0</v>
      </c>
      <c r="G26" s="139">
        <f>'[8]Feb 2023'!G26+'[8]March 2023'!F26</f>
        <v>0</v>
      </c>
      <c r="H26" s="139">
        <f t="shared" si="0"/>
        <v>1628.29</v>
      </c>
      <c r="I26" s="139">
        <f>'[8]Feb 2023'!N26</f>
        <v>118.94</v>
      </c>
      <c r="J26" s="139">
        <v>2.61</v>
      </c>
      <c r="K26" s="139">
        <f>'[8]Feb 2023'!K26+'[8]March 2023'!J26</f>
        <v>54.22</v>
      </c>
      <c r="L26" s="139">
        <v>0</v>
      </c>
      <c r="M26" s="139">
        <f>'[8]Feb 2023'!M26+'[8]March 2023'!L26</f>
        <v>0</v>
      </c>
      <c r="N26" s="139">
        <f t="shared" si="1"/>
        <v>121.55</v>
      </c>
      <c r="O26" s="139">
        <f>'[8]Feb 2023'!T26</f>
        <v>16.369999999999997</v>
      </c>
      <c r="P26" s="139">
        <v>0</v>
      </c>
      <c r="Q26" s="139">
        <f>'[8]Feb 2023'!Q26+'[8]March 2023'!P26</f>
        <v>0.26</v>
      </c>
      <c r="R26" s="139">
        <v>0</v>
      </c>
      <c r="S26" s="139">
        <f>'[8]Feb 2023'!S26+'[8]March 2023'!R26</f>
        <v>0</v>
      </c>
      <c r="T26" s="139">
        <f t="shared" si="2"/>
        <v>16.369999999999997</v>
      </c>
      <c r="U26" s="139">
        <f t="shared" si="3"/>
        <v>1766.2099999999998</v>
      </c>
    </row>
    <row r="27" spans="1:21" s="111" customFormat="1" ht="38.25" customHeight="1" x14ac:dyDescent="0.4">
      <c r="A27" s="171">
        <v>16</v>
      </c>
      <c r="B27" s="232" t="s">
        <v>97</v>
      </c>
      <c r="C27" s="139">
        <f>'[8]Feb 2023'!H27</f>
        <v>5677.6650000000045</v>
      </c>
      <c r="D27" s="139">
        <v>7.71</v>
      </c>
      <c r="E27" s="139">
        <f>'[8]Feb 2023'!E27+'[8]March 2023'!D27</f>
        <v>108.66999999999999</v>
      </c>
      <c r="F27" s="139">
        <v>0</v>
      </c>
      <c r="G27" s="139">
        <f>'[8]Feb 2023'!G27+'[8]March 2023'!F27</f>
        <v>0</v>
      </c>
      <c r="H27" s="139">
        <f t="shared" si="0"/>
        <v>5685.3750000000045</v>
      </c>
      <c r="I27" s="139">
        <f>'[8]Feb 2023'!N27</f>
        <v>622.88799999999992</v>
      </c>
      <c r="J27" s="139">
        <v>11.29</v>
      </c>
      <c r="K27" s="139">
        <f>'[8]Feb 2023'!K27+'[8]March 2023'!J27</f>
        <v>39.99</v>
      </c>
      <c r="L27" s="139">
        <v>0</v>
      </c>
      <c r="M27" s="139">
        <f>'[8]Feb 2023'!M27+'[8]March 2023'!L27</f>
        <v>0</v>
      </c>
      <c r="N27" s="139">
        <f t="shared" si="1"/>
        <v>634.17799999999988</v>
      </c>
      <c r="O27" s="139">
        <f>'[8]Feb 2023'!T27</f>
        <v>33.760000000000005</v>
      </c>
      <c r="P27" s="139">
        <v>0.04</v>
      </c>
      <c r="Q27" s="139">
        <f>'[8]Feb 2023'!Q27+'[8]March 2023'!P27</f>
        <v>0.31</v>
      </c>
      <c r="R27" s="139">
        <v>0</v>
      </c>
      <c r="S27" s="139">
        <f>'[8]Feb 2023'!S27+'[8]March 2023'!R27</f>
        <v>0</v>
      </c>
      <c r="T27" s="139">
        <f t="shared" si="2"/>
        <v>33.800000000000004</v>
      </c>
      <c r="U27" s="139">
        <f t="shared" si="3"/>
        <v>6353.3530000000046</v>
      </c>
    </row>
    <row r="28" spans="1:21" s="111" customFormat="1" ht="38.25" customHeight="1" x14ac:dyDescent="0.4">
      <c r="A28" s="313" t="s">
        <v>98</v>
      </c>
      <c r="B28" s="313"/>
      <c r="C28" s="141">
        <f>SUM(C26:C27)</f>
        <v>7283.9050000000043</v>
      </c>
      <c r="D28" s="141">
        <f t="shared" ref="D28:S28" si="9">SUM(D26:D27)</f>
        <v>29.76</v>
      </c>
      <c r="E28" s="141">
        <f t="shared" si="9"/>
        <v>183.97999999999996</v>
      </c>
      <c r="F28" s="141">
        <f t="shared" si="9"/>
        <v>0</v>
      </c>
      <c r="G28" s="141">
        <f t="shared" si="9"/>
        <v>0</v>
      </c>
      <c r="H28" s="141">
        <f t="shared" si="0"/>
        <v>7313.6650000000045</v>
      </c>
      <c r="I28" s="141">
        <f t="shared" si="9"/>
        <v>741.82799999999997</v>
      </c>
      <c r="J28" s="141">
        <f t="shared" si="9"/>
        <v>13.899999999999999</v>
      </c>
      <c r="K28" s="141">
        <f t="shared" si="9"/>
        <v>94.210000000000008</v>
      </c>
      <c r="L28" s="141">
        <f t="shared" si="9"/>
        <v>0</v>
      </c>
      <c r="M28" s="141">
        <f t="shared" si="9"/>
        <v>0</v>
      </c>
      <c r="N28" s="141">
        <f t="shared" si="1"/>
        <v>755.72799999999995</v>
      </c>
      <c r="O28" s="141">
        <f t="shared" si="9"/>
        <v>50.13</v>
      </c>
      <c r="P28" s="141">
        <f t="shared" si="9"/>
        <v>0.04</v>
      </c>
      <c r="Q28" s="141">
        <f t="shared" si="9"/>
        <v>0.57000000000000006</v>
      </c>
      <c r="R28" s="141">
        <f t="shared" si="9"/>
        <v>0</v>
      </c>
      <c r="S28" s="141">
        <f t="shared" si="9"/>
        <v>0</v>
      </c>
      <c r="T28" s="141">
        <f t="shared" si="2"/>
        <v>50.17</v>
      </c>
      <c r="U28" s="141">
        <f t="shared" si="3"/>
        <v>8119.5630000000046</v>
      </c>
    </row>
    <row r="29" spans="1:21" ht="38.25" customHeight="1" x14ac:dyDescent="0.35">
      <c r="A29" s="171">
        <v>17</v>
      </c>
      <c r="B29" s="231" t="s">
        <v>99</v>
      </c>
      <c r="C29" s="139">
        <f>'[8]Feb 2023'!H29</f>
        <v>4879.3380000000006</v>
      </c>
      <c r="D29" s="139">
        <v>1.7</v>
      </c>
      <c r="E29" s="139">
        <f>'[8]Feb 2023'!E29+'[8]March 2023'!D29</f>
        <v>227.57</v>
      </c>
      <c r="F29" s="139">
        <v>0</v>
      </c>
      <c r="G29" s="139">
        <f>'[8]Feb 2023'!G29+'[8]March 2023'!F29</f>
        <v>0</v>
      </c>
      <c r="H29" s="139">
        <f t="shared" si="0"/>
        <v>4881.0380000000005</v>
      </c>
      <c r="I29" s="139">
        <f>'[8]Feb 2023'!N29</f>
        <v>121.53000000000002</v>
      </c>
      <c r="J29" s="139">
        <v>0</v>
      </c>
      <c r="K29" s="139">
        <f>'[8]Feb 2023'!K29+'[8]March 2023'!J29</f>
        <v>2.14</v>
      </c>
      <c r="L29" s="139">
        <v>0</v>
      </c>
      <c r="M29" s="139">
        <f>'[8]Feb 2023'!M29+'[8]March 2023'!L29</f>
        <v>0</v>
      </c>
      <c r="N29" s="139">
        <f t="shared" si="1"/>
        <v>121.53000000000002</v>
      </c>
      <c r="O29" s="139">
        <f>'[8]Feb 2023'!T29</f>
        <v>34.52000000000001</v>
      </c>
      <c r="P29" s="139">
        <v>0</v>
      </c>
      <c r="Q29" s="139">
        <f>'[8]Feb 2023'!Q29+'[8]March 2023'!P29</f>
        <v>0</v>
      </c>
      <c r="R29" s="139">
        <v>0</v>
      </c>
      <c r="S29" s="139">
        <f>'[8]Feb 2023'!S29+'[8]March 2023'!R29</f>
        <v>23.2</v>
      </c>
      <c r="T29" s="139">
        <f t="shared" si="2"/>
        <v>34.52000000000001</v>
      </c>
      <c r="U29" s="139">
        <f t="shared" si="3"/>
        <v>5037.0880000000006</v>
      </c>
    </row>
    <row r="30" spans="1:21" ht="38.25" customHeight="1" x14ac:dyDescent="0.35">
      <c r="A30" s="171">
        <v>18</v>
      </c>
      <c r="B30" s="231" t="s">
        <v>100</v>
      </c>
      <c r="C30" s="139">
        <f>'[8]Feb 2023'!H30</f>
        <v>3693.9499999999994</v>
      </c>
      <c r="D30" s="139">
        <v>8.1999999999999993</v>
      </c>
      <c r="E30" s="139">
        <f>'[8]Feb 2023'!E30+'[8]March 2023'!D30</f>
        <v>89.810000000000016</v>
      </c>
      <c r="F30" s="139">
        <v>0</v>
      </c>
      <c r="G30" s="139">
        <f>'[8]Feb 2023'!G30+'[8]March 2023'!F30</f>
        <v>0</v>
      </c>
      <c r="H30" s="139">
        <f t="shared" si="0"/>
        <v>3702.1499999999992</v>
      </c>
      <c r="I30" s="139">
        <f>'[8]Feb 2023'!N30</f>
        <v>198.58699999999999</v>
      </c>
      <c r="J30" s="139">
        <v>0</v>
      </c>
      <c r="K30" s="139">
        <f>'[8]Feb 2023'!K30+'[8]March 2023'!J30</f>
        <v>88</v>
      </c>
      <c r="L30" s="139">
        <v>0</v>
      </c>
      <c r="M30" s="139">
        <f>'[8]Feb 2023'!M30+'[8]March 2023'!L30</f>
        <v>0</v>
      </c>
      <c r="N30" s="139">
        <f t="shared" si="1"/>
        <v>198.58699999999999</v>
      </c>
      <c r="O30" s="139">
        <f>'[8]Feb 2023'!T30</f>
        <v>23.25</v>
      </c>
      <c r="P30" s="139">
        <v>0</v>
      </c>
      <c r="Q30" s="139">
        <f>'[8]Feb 2023'!Q30+'[8]March 2023'!P30</f>
        <v>0</v>
      </c>
      <c r="R30" s="139">
        <v>0</v>
      </c>
      <c r="S30" s="139">
        <f>'[8]Feb 2023'!S30+'[8]March 2023'!R30</f>
        <v>0</v>
      </c>
      <c r="T30" s="139">
        <f t="shared" si="2"/>
        <v>23.25</v>
      </c>
      <c r="U30" s="139">
        <f t="shared" si="3"/>
        <v>3923.9869999999992</v>
      </c>
    </row>
    <row r="31" spans="1:21" s="111" customFormat="1" ht="38.25" customHeight="1" x14ac:dyDescent="0.4">
      <c r="A31" s="171">
        <v>19</v>
      </c>
      <c r="B31" s="231" t="s">
        <v>101</v>
      </c>
      <c r="C31" s="139">
        <f>'[8]Feb 2023'!H31</f>
        <v>4698.2870000000012</v>
      </c>
      <c r="D31" s="139">
        <v>4.2050000000000001</v>
      </c>
      <c r="E31" s="139">
        <f>'[8]Feb 2023'!E31+'[8]March 2023'!D31</f>
        <v>36.913000000000004</v>
      </c>
      <c r="F31" s="139">
        <v>0</v>
      </c>
      <c r="G31" s="139">
        <f>'[8]Feb 2023'!G31+'[8]March 2023'!F31</f>
        <v>0</v>
      </c>
      <c r="H31" s="139">
        <f t="shared" si="0"/>
        <v>4702.4920000000011</v>
      </c>
      <c r="I31" s="139">
        <f>'[8]Feb 2023'!N31</f>
        <v>107.69000000000003</v>
      </c>
      <c r="J31" s="139">
        <v>0</v>
      </c>
      <c r="K31" s="139">
        <f>'[8]Feb 2023'!K31+'[8]March 2023'!J31</f>
        <v>0.06</v>
      </c>
      <c r="L31" s="139">
        <v>0</v>
      </c>
      <c r="M31" s="139">
        <f>'[8]Feb 2023'!M31+'[8]March 2023'!L31</f>
        <v>0</v>
      </c>
      <c r="N31" s="139">
        <f t="shared" si="1"/>
        <v>107.69000000000003</v>
      </c>
      <c r="O31" s="139">
        <f>'[8]Feb 2023'!T31</f>
        <v>14.850000000000001</v>
      </c>
      <c r="P31" s="139">
        <v>0</v>
      </c>
      <c r="Q31" s="139">
        <f>'[8]Feb 2023'!Q31+'[8]March 2023'!P31</f>
        <v>0</v>
      </c>
      <c r="R31" s="139">
        <v>0</v>
      </c>
      <c r="S31" s="139">
        <f>'[8]Feb 2023'!S31+'[8]March 2023'!R31</f>
        <v>0</v>
      </c>
      <c r="T31" s="139">
        <f t="shared" si="2"/>
        <v>14.850000000000001</v>
      </c>
      <c r="U31" s="139">
        <f t="shared" si="3"/>
        <v>4825.0320000000011</v>
      </c>
    </row>
    <row r="32" spans="1:21" ht="38.25" customHeight="1" x14ac:dyDescent="0.35">
      <c r="A32" s="171">
        <v>20</v>
      </c>
      <c r="B32" s="231" t="s">
        <v>102</v>
      </c>
      <c r="C32" s="139">
        <f>'[8]Feb 2023'!H32</f>
        <v>2370.1757999999991</v>
      </c>
      <c r="D32" s="139">
        <v>3.85</v>
      </c>
      <c r="E32" s="139">
        <f>'[8]Feb 2023'!E32+'[8]March 2023'!D32</f>
        <v>31.170000000000005</v>
      </c>
      <c r="F32" s="139">
        <v>0</v>
      </c>
      <c r="G32" s="139">
        <f>'[8]Feb 2023'!G32+'[8]March 2023'!F32</f>
        <v>0</v>
      </c>
      <c r="H32" s="139">
        <f t="shared" si="0"/>
        <v>2374.025799999999</v>
      </c>
      <c r="I32" s="139">
        <f>'[8]Feb 2023'!N32</f>
        <v>89.88600000000001</v>
      </c>
      <c r="J32" s="139">
        <v>3.29</v>
      </c>
      <c r="K32" s="139">
        <f>'[8]Feb 2023'!K32+'[8]March 2023'!J32</f>
        <v>10.41</v>
      </c>
      <c r="L32" s="139">
        <v>0</v>
      </c>
      <c r="M32" s="139">
        <f>'[8]Feb 2023'!M32+'[8]March 2023'!L32</f>
        <v>0</v>
      </c>
      <c r="N32" s="139">
        <f t="shared" si="1"/>
        <v>93.176000000000016</v>
      </c>
      <c r="O32" s="139">
        <f>'[8]Feb 2023'!T32</f>
        <v>67.551999999999992</v>
      </c>
      <c r="P32" s="139">
        <v>0</v>
      </c>
      <c r="Q32" s="139">
        <f>'[8]Feb 2023'!Q32+'[8]March 2023'!P32</f>
        <v>0</v>
      </c>
      <c r="R32" s="139">
        <v>0</v>
      </c>
      <c r="S32" s="139">
        <f>'[8]Feb 2023'!S32+'[8]March 2023'!R32</f>
        <v>0</v>
      </c>
      <c r="T32" s="139">
        <f t="shared" si="2"/>
        <v>67.551999999999992</v>
      </c>
      <c r="U32" s="139">
        <f t="shared" si="3"/>
        <v>2534.753799999999</v>
      </c>
    </row>
    <row r="33" spans="1:21" s="111" customFormat="1" ht="38.25" customHeight="1" x14ac:dyDescent="0.4">
      <c r="A33" s="313" t="s">
        <v>99</v>
      </c>
      <c r="B33" s="313"/>
      <c r="C33" s="141">
        <f>SUM(C29:C32)</f>
        <v>15641.7508</v>
      </c>
      <c r="D33" s="141">
        <f t="shared" ref="D33:S33" si="10">SUM(D29:D32)</f>
        <v>17.954999999999998</v>
      </c>
      <c r="E33" s="141">
        <f t="shared" si="10"/>
        <v>385.46300000000002</v>
      </c>
      <c r="F33" s="141">
        <f t="shared" si="10"/>
        <v>0</v>
      </c>
      <c r="G33" s="141">
        <f t="shared" si="10"/>
        <v>0</v>
      </c>
      <c r="H33" s="141">
        <f t="shared" si="0"/>
        <v>15659.7058</v>
      </c>
      <c r="I33" s="141">
        <f t="shared" si="10"/>
        <v>517.69299999999998</v>
      </c>
      <c r="J33" s="141">
        <f t="shared" si="10"/>
        <v>3.29</v>
      </c>
      <c r="K33" s="141">
        <f t="shared" si="10"/>
        <v>100.61</v>
      </c>
      <c r="L33" s="141">
        <f t="shared" si="10"/>
        <v>0</v>
      </c>
      <c r="M33" s="141">
        <f t="shared" si="10"/>
        <v>0</v>
      </c>
      <c r="N33" s="141">
        <f t="shared" si="1"/>
        <v>520.98299999999995</v>
      </c>
      <c r="O33" s="141">
        <f t="shared" si="10"/>
        <v>140.172</v>
      </c>
      <c r="P33" s="141">
        <f t="shared" si="10"/>
        <v>0</v>
      </c>
      <c r="Q33" s="141">
        <f t="shared" si="10"/>
        <v>0</v>
      </c>
      <c r="R33" s="141">
        <f t="shared" si="10"/>
        <v>0</v>
      </c>
      <c r="S33" s="141">
        <f t="shared" si="10"/>
        <v>23.2</v>
      </c>
      <c r="T33" s="141">
        <f t="shared" si="2"/>
        <v>140.172</v>
      </c>
      <c r="U33" s="141">
        <f t="shared" si="3"/>
        <v>16320.8608</v>
      </c>
    </row>
    <row r="34" spans="1:21" ht="38.25" customHeight="1" x14ac:dyDescent="0.35">
      <c r="A34" s="171">
        <v>21</v>
      </c>
      <c r="B34" s="231" t="s">
        <v>103</v>
      </c>
      <c r="C34" s="139">
        <f>'[8]Feb 2023'!H34</f>
        <v>4583.58</v>
      </c>
      <c r="D34" s="139">
        <v>3.17</v>
      </c>
      <c r="E34" s="139">
        <f>'[8]Feb 2023'!E34+'[8]March 2023'!D34</f>
        <v>157.53999999999996</v>
      </c>
      <c r="F34" s="139">
        <v>0</v>
      </c>
      <c r="G34" s="139">
        <f>'[8]Feb 2023'!G34+'[8]March 2023'!F34</f>
        <v>9.89</v>
      </c>
      <c r="H34" s="139">
        <f t="shared" si="0"/>
        <v>4586.75</v>
      </c>
      <c r="I34" s="139">
        <f>'[8]Feb 2023'!N34</f>
        <v>108.07999999999998</v>
      </c>
      <c r="J34" s="139">
        <v>0</v>
      </c>
      <c r="K34" s="139">
        <f>'[8]Feb 2023'!K34+'[8]March 2023'!J34</f>
        <v>108.07999999999998</v>
      </c>
      <c r="L34" s="139">
        <v>0</v>
      </c>
      <c r="M34" s="139">
        <f>'[8]Feb 2023'!M34+'[8]March 2023'!L34</f>
        <v>0</v>
      </c>
      <c r="N34" s="139">
        <f t="shared" si="1"/>
        <v>108.07999999999998</v>
      </c>
      <c r="O34" s="139">
        <f>'[8]Feb 2023'!T34</f>
        <v>72.7</v>
      </c>
      <c r="P34" s="139">
        <v>0</v>
      </c>
      <c r="Q34" s="139">
        <f>'[8]Feb 2023'!Q34+'[8]March 2023'!P34</f>
        <v>72.7</v>
      </c>
      <c r="R34" s="139">
        <v>0</v>
      </c>
      <c r="S34" s="139">
        <f>'[8]Feb 2023'!S34+'[8]March 2023'!R34</f>
        <v>0</v>
      </c>
      <c r="T34" s="139">
        <f t="shared" si="2"/>
        <v>72.7</v>
      </c>
      <c r="U34" s="139">
        <f t="shared" si="3"/>
        <v>4767.53</v>
      </c>
    </row>
    <row r="35" spans="1:21" ht="38.25" customHeight="1" x14ac:dyDescent="0.35">
      <c r="A35" s="171">
        <v>22</v>
      </c>
      <c r="B35" s="231" t="s">
        <v>104</v>
      </c>
      <c r="C35" s="139">
        <f>'[8]Feb 2023'!H35</f>
        <v>6642.199999999998</v>
      </c>
      <c r="D35" s="139">
        <f>28.03+13.39</f>
        <v>41.42</v>
      </c>
      <c r="E35" s="139">
        <f>'[8]Feb 2023'!E35+'[8]March 2023'!D35</f>
        <v>474.04</v>
      </c>
      <c r="F35" s="139">
        <v>0</v>
      </c>
      <c r="G35" s="139">
        <f>'[8]Feb 2023'!G35+'[8]March 2023'!F35</f>
        <v>0</v>
      </c>
      <c r="H35" s="139">
        <f t="shared" si="0"/>
        <v>6683.6199999999981</v>
      </c>
      <c r="I35" s="139">
        <f>'[8]Feb 2023'!N35</f>
        <v>34.130000000000003</v>
      </c>
      <c r="J35" s="139">
        <v>0</v>
      </c>
      <c r="K35" s="139">
        <f>'[8]Feb 2023'!K35+'[8]March 2023'!J35</f>
        <v>27.21</v>
      </c>
      <c r="L35" s="139">
        <v>0</v>
      </c>
      <c r="M35" s="139">
        <f>'[8]Feb 2023'!M35+'[8]March 2023'!L35</f>
        <v>0</v>
      </c>
      <c r="N35" s="139">
        <f t="shared" si="1"/>
        <v>34.130000000000003</v>
      </c>
      <c r="O35" s="139">
        <f>'[8]Feb 2023'!T35</f>
        <v>90.800000000000011</v>
      </c>
      <c r="P35" s="139">
        <v>0</v>
      </c>
      <c r="Q35" s="139">
        <f>'[8]Feb 2023'!Q35+'[8]March 2023'!P35</f>
        <v>32.380000000000003</v>
      </c>
      <c r="R35" s="139">
        <v>0</v>
      </c>
      <c r="S35" s="139">
        <f>'[8]Feb 2023'!S35+'[8]March 2023'!R35</f>
        <v>0</v>
      </c>
      <c r="T35" s="139">
        <f t="shared" si="2"/>
        <v>90.800000000000011</v>
      </c>
      <c r="U35" s="139">
        <f t="shared" si="3"/>
        <v>6808.5499999999984</v>
      </c>
    </row>
    <row r="36" spans="1:21" s="111" customFormat="1" ht="38.25" customHeight="1" x14ac:dyDescent="0.4">
      <c r="A36" s="171">
        <v>23</v>
      </c>
      <c r="B36" s="231" t="s">
        <v>105</v>
      </c>
      <c r="C36" s="139">
        <f>'[8]Feb 2023'!H36</f>
        <v>3672.42</v>
      </c>
      <c r="D36" s="139">
        <v>25.24</v>
      </c>
      <c r="E36" s="139">
        <f>'[8]Feb 2023'!E36+'[8]March 2023'!D36</f>
        <v>246.56</v>
      </c>
      <c r="F36" s="139">
        <v>0</v>
      </c>
      <c r="G36" s="139">
        <f>'[8]Feb 2023'!G36+'[8]March 2023'!F36</f>
        <v>0</v>
      </c>
      <c r="H36" s="139">
        <f t="shared" si="0"/>
        <v>3697.66</v>
      </c>
      <c r="I36" s="139">
        <f>'[8]Feb 2023'!N36</f>
        <v>30.250000000000039</v>
      </c>
      <c r="J36" s="139">
        <v>0</v>
      </c>
      <c r="K36" s="139">
        <f>'[8]Feb 2023'!K36+'[8]March 2023'!J36</f>
        <v>5.2</v>
      </c>
      <c r="L36" s="139">
        <v>0</v>
      </c>
      <c r="M36" s="139">
        <f>'[8]Feb 2023'!M36+'[8]March 2023'!L36</f>
        <v>4.63</v>
      </c>
      <c r="N36" s="139">
        <f t="shared" si="1"/>
        <v>30.250000000000039</v>
      </c>
      <c r="O36" s="139">
        <f>'[8]Feb 2023'!T36</f>
        <v>36.379999999999995</v>
      </c>
      <c r="P36" s="139">
        <v>0</v>
      </c>
      <c r="Q36" s="139">
        <f>'[8]Feb 2023'!Q36+'[8]March 2023'!P36</f>
        <v>19.29</v>
      </c>
      <c r="R36" s="139">
        <v>0</v>
      </c>
      <c r="S36" s="139">
        <f>'[8]Feb 2023'!S36+'[8]March 2023'!R36</f>
        <v>0</v>
      </c>
      <c r="T36" s="139">
        <f t="shared" si="2"/>
        <v>36.379999999999995</v>
      </c>
      <c r="U36" s="139">
        <f t="shared" si="3"/>
        <v>3764.29</v>
      </c>
    </row>
    <row r="37" spans="1:21" s="111" customFormat="1" ht="38.25" customHeight="1" x14ac:dyDescent="0.4">
      <c r="A37" s="171">
        <v>24</v>
      </c>
      <c r="B37" s="231" t="s">
        <v>106</v>
      </c>
      <c r="C37" s="139">
        <f>'[8]Feb 2023'!H37</f>
        <v>5081.2499999999982</v>
      </c>
      <c r="D37" s="139">
        <f>1.76+11.5</f>
        <v>13.26</v>
      </c>
      <c r="E37" s="139">
        <f>'[8]Feb 2023'!E37+'[8]March 2023'!D37</f>
        <v>306.39000000000004</v>
      </c>
      <c r="F37" s="139">
        <v>0</v>
      </c>
      <c r="G37" s="139">
        <f>'[8]Feb 2023'!G37+'[8]March 2023'!F37</f>
        <v>0</v>
      </c>
      <c r="H37" s="139">
        <f t="shared" si="0"/>
        <v>5094.5099999999984</v>
      </c>
      <c r="I37" s="139">
        <f>'[8]Feb 2023'!N37</f>
        <v>26.700000000000003</v>
      </c>
      <c r="J37" s="139">
        <v>0</v>
      </c>
      <c r="K37" s="139">
        <f>'[8]Feb 2023'!K37+'[8]March 2023'!J37</f>
        <v>14.27</v>
      </c>
      <c r="L37" s="139">
        <v>0</v>
      </c>
      <c r="M37" s="139">
        <f>'[8]Feb 2023'!M37+'[8]March 2023'!L37</f>
        <v>1.06</v>
      </c>
      <c r="N37" s="139">
        <f t="shared" si="1"/>
        <v>26.700000000000003</v>
      </c>
      <c r="O37" s="139">
        <f>'[8]Feb 2023'!T37</f>
        <v>3.0599999999999996</v>
      </c>
      <c r="P37" s="139">
        <v>0</v>
      </c>
      <c r="Q37" s="139">
        <f>'[8]Feb 2023'!Q37+'[8]March 2023'!P37</f>
        <v>0</v>
      </c>
      <c r="R37" s="139">
        <v>0</v>
      </c>
      <c r="S37" s="139">
        <f>'[8]Feb 2023'!S37+'[8]March 2023'!R37</f>
        <v>3.46</v>
      </c>
      <c r="T37" s="139">
        <f t="shared" si="2"/>
        <v>3.0599999999999996</v>
      </c>
      <c r="U37" s="139">
        <f t="shared" si="3"/>
        <v>5124.2699999999986</v>
      </c>
    </row>
    <row r="38" spans="1:21" s="111" customFormat="1" ht="38.25" customHeight="1" x14ac:dyDescent="0.4">
      <c r="A38" s="313" t="s">
        <v>107</v>
      </c>
      <c r="B38" s="313"/>
      <c r="C38" s="141">
        <f>SUM(C34:C37)</f>
        <v>19979.449999999997</v>
      </c>
      <c r="D38" s="141">
        <f t="shared" ref="D38:S38" si="11">SUM(D34:D37)</f>
        <v>83.09</v>
      </c>
      <c r="E38" s="141">
        <f t="shared" si="11"/>
        <v>1184.53</v>
      </c>
      <c r="F38" s="141">
        <f t="shared" si="11"/>
        <v>0</v>
      </c>
      <c r="G38" s="141">
        <f t="shared" si="11"/>
        <v>9.89</v>
      </c>
      <c r="H38" s="141">
        <f t="shared" si="0"/>
        <v>20062.539999999997</v>
      </c>
      <c r="I38" s="141">
        <f t="shared" si="11"/>
        <v>199.16000000000003</v>
      </c>
      <c r="J38" s="141">
        <f t="shared" si="11"/>
        <v>0</v>
      </c>
      <c r="K38" s="141">
        <f t="shared" si="11"/>
        <v>154.76</v>
      </c>
      <c r="L38" s="141">
        <f t="shared" si="11"/>
        <v>0</v>
      </c>
      <c r="M38" s="141">
        <f t="shared" si="11"/>
        <v>5.6899999999999995</v>
      </c>
      <c r="N38" s="141">
        <f t="shared" si="1"/>
        <v>199.16000000000003</v>
      </c>
      <c r="O38" s="141">
        <f t="shared" si="11"/>
        <v>202.94</v>
      </c>
      <c r="P38" s="141">
        <f t="shared" si="11"/>
        <v>0</v>
      </c>
      <c r="Q38" s="141">
        <f t="shared" si="11"/>
        <v>124.37</v>
      </c>
      <c r="R38" s="141">
        <f t="shared" si="11"/>
        <v>0</v>
      </c>
      <c r="S38" s="141">
        <f t="shared" si="11"/>
        <v>3.46</v>
      </c>
      <c r="T38" s="141">
        <f t="shared" si="2"/>
        <v>202.94</v>
      </c>
      <c r="U38" s="141">
        <f t="shared" si="3"/>
        <v>20464.639999999996</v>
      </c>
    </row>
    <row r="39" spans="1:21" s="145" customFormat="1" ht="38.25" customHeight="1" x14ac:dyDescent="0.4">
      <c r="A39" s="313" t="s">
        <v>108</v>
      </c>
      <c r="B39" s="313"/>
      <c r="C39" s="141">
        <f>C38+C33+C28</f>
        <v>42905.105800000005</v>
      </c>
      <c r="D39" s="141">
        <f t="shared" ref="D39:S39" si="12">D38+D33+D28</f>
        <v>130.80500000000001</v>
      </c>
      <c r="E39" s="141">
        <f t="shared" si="12"/>
        <v>1753.973</v>
      </c>
      <c r="F39" s="141">
        <f t="shared" si="12"/>
        <v>0</v>
      </c>
      <c r="G39" s="141">
        <f t="shared" si="12"/>
        <v>9.89</v>
      </c>
      <c r="H39" s="141">
        <f t="shared" si="0"/>
        <v>43035.910800000005</v>
      </c>
      <c r="I39" s="141">
        <f t="shared" si="12"/>
        <v>1458.681</v>
      </c>
      <c r="J39" s="141">
        <f t="shared" si="12"/>
        <v>17.189999999999998</v>
      </c>
      <c r="K39" s="141">
        <f t="shared" si="12"/>
        <v>349.58000000000004</v>
      </c>
      <c r="L39" s="141">
        <f t="shared" si="12"/>
        <v>0</v>
      </c>
      <c r="M39" s="141">
        <f t="shared" si="12"/>
        <v>5.6899999999999995</v>
      </c>
      <c r="N39" s="141">
        <f t="shared" si="1"/>
        <v>1475.8710000000001</v>
      </c>
      <c r="O39" s="141">
        <f t="shared" si="12"/>
        <v>393.24199999999996</v>
      </c>
      <c r="P39" s="141">
        <f t="shared" si="12"/>
        <v>0.04</v>
      </c>
      <c r="Q39" s="141">
        <f t="shared" si="12"/>
        <v>124.94</v>
      </c>
      <c r="R39" s="141">
        <f t="shared" si="12"/>
        <v>0</v>
      </c>
      <c r="S39" s="141">
        <f t="shared" si="12"/>
        <v>26.66</v>
      </c>
      <c r="T39" s="141">
        <f t="shared" si="2"/>
        <v>393.28199999999998</v>
      </c>
      <c r="U39" s="141">
        <f t="shared" si="3"/>
        <v>44905.063800000004</v>
      </c>
    </row>
    <row r="40" spans="1:21" ht="38.25" customHeight="1" x14ac:dyDescent="0.35">
      <c r="A40" s="171">
        <v>25</v>
      </c>
      <c r="B40" s="231" t="s">
        <v>109</v>
      </c>
      <c r="C40" s="139">
        <f>'[8]Feb 2023'!H40</f>
        <v>11829.713999999998</v>
      </c>
      <c r="D40" s="139">
        <v>27.91</v>
      </c>
      <c r="E40" s="139">
        <f>'[8]Feb 2023'!E40+'[8]March 2023'!D40</f>
        <v>467.18</v>
      </c>
      <c r="F40" s="139">
        <v>0</v>
      </c>
      <c r="G40" s="139">
        <f>'[8]Feb 2023'!G40+'[8]March 2023'!F40</f>
        <v>0</v>
      </c>
      <c r="H40" s="139">
        <f t="shared" si="0"/>
        <v>11857.623999999998</v>
      </c>
      <c r="I40" s="139">
        <f>'[8]Feb 2023'!N40</f>
        <v>198.73</v>
      </c>
      <c r="J40" s="139">
        <v>0</v>
      </c>
      <c r="K40" s="139">
        <f>'[8]Feb 2023'!K40+'[8]March 2023'!J40</f>
        <v>0</v>
      </c>
      <c r="L40" s="139">
        <v>0</v>
      </c>
      <c r="M40" s="139">
        <f>'[8]Feb 2023'!M40+'[8]March 2023'!L40</f>
        <v>0</v>
      </c>
      <c r="N40" s="139">
        <f t="shared" si="1"/>
        <v>198.73</v>
      </c>
      <c r="O40" s="139">
        <f>'[8]Feb 2023'!T40</f>
        <v>106.93</v>
      </c>
      <c r="P40" s="139">
        <v>0</v>
      </c>
      <c r="Q40" s="139">
        <f>'[8]Feb 2023'!Q40+'[8]March 2023'!P40</f>
        <v>106.93</v>
      </c>
      <c r="R40" s="139">
        <v>0</v>
      </c>
      <c r="S40" s="139">
        <f>'[8]Feb 2023'!S40+'[8]March 2023'!R40</f>
        <v>0</v>
      </c>
      <c r="T40" s="139">
        <f t="shared" si="2"/>
        <v>106.93</v>
      </c>
      <c r="U40" s="139">
        <f t="shared" si="3"/>
        <v>12163.283999999998</v>
      </c>
    </row>
    <row r="41" spans="1:21" ht="38.25" customHeight="1" x14ac:dyDescent="0.35">
      <c r="A41" s="171">
        <v>26</v>
      </c>
      <c r="B41" s="231" t="s">
        <v>110</v>
      </c>
      <c r="C41" s="139">
        <f>'[8]Feb 2023'!H41</f>
        <v>8392.1389999999938</v>
      </c>
      <c r="D41" s="139">
        <f>6.88+48.38</f>
        <v>55.260000000000005</v>
      </c>
      <c r="E41" s="139">
        <f>'[8]Feb 2023'!E41+'[8]March 2023'!D41</f>
        <v>949.36200000000008</v>
      </c>
      <c r="F41" s="139">
        <v>0</v>
      </c>
      <c r="G41" s="139">
        <f>'[8]Feb 2023'!G41+'[8]March 2023'!F41</f>
        <v>0</v>
      </c>
      <c r="H41" s="139">
        <f t="shared" si="0"/>
        <v>8447.398999999994</v>
      </c>
      <c r="I41" s="139">
        <f>'[8]Feb 2023'!N41</f>
        <v>8.67</v>
      </c>
      <c r="J41" s="139">
        <v>0</v>
      </c>
      <c r="K41" s="139">
        <f>'[8]Feb 2023'!K41+'[8]March 2023'!J41</f>
        <v>0</v>
      </c>
      <c r="L41" s="139">
        <v>0</v>
      </c>
      <c r="M41" s="139">
        <f>'[8]Feb 2023'!M41+'[8]March 2023'!L41</f>
        <v>0</v>
      </c>
      <c r="N41" s="139">
        <f t="shared" si="1"/>
        <v>8.67</v>
      </c>
      <c r="O41" s="139">
        <f>'[8]Feb 2023'!T41</f>
        <v>141.29000000000002</v>
      </c>
      <c r="P41" s="139">
        <v>0</v>
      </c>
      <c r="Q41" s="139">
        <f>'[8]Feb 2023'!Q41+'[8]March 2023'!P41</f>
        <v>141.29000000000002</v>
      </c>
      <c r="R41" s="139">
        <v>0</v>
      </c>
      <c r="S41" s="139">
        <f>'[8]Feb 2023'!S41+'[8]March 2023'!R41</f>
        <v>0</v>
      </c>
      <c r="T41" s="139">
        <f t="shared" si="2"/>
        <v>141.29000000000002</v>
      </c>
      <c r="U41" s="139">
        <f t="shared" si="3"/>
        <v>8597.3589999999949</v>
      </c>
    </row>
    <row r="42" spans="1:21" s="111" customFormat="1" ht="38.25" customHeight="1" x14ac:dyDescent="0.4">
      <c r="A42" s="171">
        <v>27</v>
      </c>
      <c r="B42" s="231" t="s">
        <v>111</v>
      </c>
      <c r="C42" s="139">
        <f>'[8]Feb 2023'!H42</f>
        <v>13911.432999999995</v>
      </c>
      <c r="D42" s="139">
        <v>42.24</v>
      </c>
      <c r="E42" s="139">
        <f>'[8]Feb 2023'!E42+'[8]March 2023'!D42</f>
        <v>148.23400000000001</v>
      </c>
      <c r="F42" s="139">
        <v>0</v>
      </c>
      <c r="G42" s="139">
        <f>'[8]Feb 2023'!G42+'[8]March 2023'!F42</f>
        <v>0</v>
      </c>
      <c r="H42" s="139">
        <f t="shared" si="0"/>
        <v>13953.672999999995</v>
      </c>
      <c r="I42" s="139">
        <f>'[8]Feb 2023'!N42</f>
        <v>15.62</v>
      </c>
      <c r="J42" s="139">
        <v>0</v>
      </c>
      <c r="K42" s="139">
        <f>'[8]Feb 2023'!K42+'[8]March 2023'!J42</f>
        <v>0</v>
      </c>
      <c r="L42" s="139">
        <v>0</v>
      </c>
      <c r="M42" s="139">
        <f>'[8]Feb 2023'!M42+'[8]March 2023'!L42</f>
        <v>0</v>
      </c>
      <c r="N42" s="139">
        <f t="shared" si="1"/>
        <v>15.62</v>
      </c>
      <c r="O42" s="139">
        <f>'[8]Feb 2023'!T42</f>
        <v>205.35</v>
      </c>
      <c r="P42" s="139">
        <v>0</v>
      </c>
      <c r="Q42" s="139">
        <f>'[8]Feb 2023'!Q42+'[8]March 2023'!P42</f>
        <v>166.33</v>
      </c>
      <c r="R42" s="139">
        <v>0</v>
      </c>
      <c r="S42" s="139">
        <f>'[8]Feb 2023'!S42+'[8]March 2023'!R42</f>
        <v>0</v>
      </c>
      <c r="T42" s="139">
        <f t="shared" si="2"/>
        <v>205.35</v>
      </c>
      <c r="U42" s="139">
        <f t="shared" si="3"/>
        <v>14174.642999999996</v>
      </c>
    </row>
    <row r="43" spans="1:21" ht="38.25" customHeight="1" x14ac:dyDescent="0.35">
      <c r="A43" s="171">
        <v>28</v>
      </c>
      <c r="B43" s="231" t="s">
        <v>112</v>
      </c>
      <c r="C43" s="139">
        <f>'[8]Feb 2023'!H43</f>
        <v>4130.0600000000013</v>
      </c>
      <c r="D43" s="139">
        <f>28.45+43.45</f>
        <v>71.900000000000006</v>
      </c>
      <c r="E43" s="139">
        <f>'[8]Feb 2023'!E43+'[8]March 2023'!D43</f>
        <v>234.48000000000002</v>
      </c>
      <c r="F43" s="139">
        <v>0</v>
      </c>
      <c r="G43" s="139">
        <f>'[8]Feb 2023'!G43+'[8]March 2023'!F43</f>
        <v>0</v>
      </c>
      <c r="H43" s="139">
        <f t="shared" si="0"/>
        <v>4201.9600000000009</v>
      </c>
      <c r="I43" s="139">
        <f>'[8]Feb 2023'!N43</f>
        <v>3.5</v>
      </c>
      <c r="J43" s="139">
        <v>0</v>
      </c>
      <c r="K43" s="139">
        <f>'[8]Feb 2023'!K43+'[8]March 2023'!J43</f>
        <v>0</v>
      </c>
      <c r="L43" s="139">
        <v>0</v>
      </c>
      <c r="M43" s="139">
        <f>'[8]Feb 2023'!M43+'[8]March 2023'!L43</f>
        <v>0</v>
      </c>
      <c r="N43" s="139">
        <f t="shared" si="1"/>
        <v>3.5</v>
      </c>
      <c r="O43" s="139">
        <f>'[8]Feb 2023'!T43</f>
        <v>29.8</v>
      </c>
      <c r="P43" s="139">
        <v>0</v>
      </c>
      <c r="Q43" s="139">
        <f>'[8]Feb 2023'!Q43+'[8]March 2023'!P43</f>
        <v>29.8</v>
      </c>
      <c r="R43" s="139">
        <v>0</v>
      </c>
      <c r="S43" s="139">
        <f>'[8]Feb 2023'!S43+'[8]March 2023'!R43</f>
        <v>0</v>
      </c>
      <c r="T43" s="139">
        <f t="shared" si="2"/>
        <v>29.8</v>
      </c>
      <c r="U43" s="139">
        <f t="shared" si="3"/>
        <v>4235.2600000000011</v>
      </c>
    </row>
    <row r="44" spans="1:21" s="111" customFormat="1" ht="38.25" customHeight="1" x14ac:dyDescent="0.4">
      <c r="A44" s="313" t="s">
        <v>109</v>
      </c>
      <c r="B44" s="313"/>
      <c r="C44" s="141">
        <f>SUM(C40:C43)</f>
        <v>38263.34599999999</v>
      </c>
      <c r="D44" s="141">
        <f t="shared" ref="D44:S44" si="13">SUM(D40:D43)</f>
        <v>197.31</v>
      </c>
      <c r="E44" s="141">
        <f t="shared" si="13"/>
        <v>1799.2560000000001</v>
      </c>
      <c r="F44" s="141">
        <f t="shared" si="13"/>
        <v>0</v>
      </c>
      <c r="G44" s="141">
        <f t="shared" si="13"/>
        <v>0</v>
      </c>
      <c r="H44" s="141">
        <f t="shared" si="0"/>
        <v>38460.655999999988</v>
      </c>
      <c r="I44" s="141">
        <f t="shared" si="13"/>
        <v>226.51999999999998</v>
      </c>
      <c r="J44" s="141">
        <f t="shared" si="13"/>
        <v>0</v>
      </c>
      <c r="K44" s="141">
        <f t="shared" si="13"/>
        <v>0</v>
      </c>
      <c r="L44" s="141">
        <f t="shared" si="13"/>
        <v>0</v>
      </c>
      <c r="M44" s="141">
        <f t="shared" si="13"/>
        <v>0</v>
      </c>
      <c r="N44" s="141">
        <f t="shared" si="1"/>
        <v>226.51999999999998</v>
      </c>
      <c r="O44" s="141">
        <f t="shared" si="13"/>
        <v>483.37000000000006</v>
      </c>
      <c r="P44" s="141">
        <f t="shared" si="13"/>
        <v>0</v>
      </c>
      <c r="Q44" s="141">
        <f t="shared" si="13"/>
        <v>444.35000000000008</v>
      </c>
      <c r="R44" s="141">
        <f t="shared" si="13"/>
        <v>0</v>
      </c>
      <c r="S44" s="141">
        <f t="shared" si="13"/>
        <v>0</v>
      </c>
      <c r="T44" s="141">
        <f t="shared" si="2"/>
        <v>483.37000000000006</v>
      </c>
      <c r="U44" s="141">
        <f t="shared" si="3"/>
        <v>39170.545999999988</v>
      </c>
    </row>
    <row r="45" spans="1:21" ht="38.25" customHeight="1" x14ac:dyDescent="0.35">
      <c r="A45" s="171">
        <v>29</v>
      </c>
      <c r="B45" s="231" t="s">
        <v>113</v>
      </c>
      <c r="C45" s="139">
        <f>'[8]Feb 2023'!H45</f>
        <v>8340.6720999999998</v>
      </c>
      <c r="D45" s="139">
        <v>23.14</v>
      </c>
      <c r="E45" s="139">
        <f>'[8]Feb 2023'!E45+'[8]March 2023'!D45</f>
        <v>311.83</v>
      </c>
      <c r="F45" s="139">
        <v>0</v>
      </c>
      <c r="G45" s="139">
        <f>'[8]Feb 2023'!G45+'[8]March 2023'!F45</f>
        <v>0</v>
      </c>
      <c r="H45" s="139">
        <f t="shared" si="0"/>
        <v>8363.8120999999992</v>
      </c>
      <c r="I45" s="139">
        <f>'[8]Feb 2023'!N45</f>
        <v>261.04999999999995</v>
      </c>
      <c r="J45" s="139">
        <v>0</v>
      </c>
      <c r="K45" s="139">
        <f>'[8]Feb 2023'!K45+'[8]March 2023'!J45</f>
        <v>219.13</v>
      </c>
      <c r="L45" s="139">
        <v>0</v>
      </c>
      <c r="M45" s="139">
        <f>'[8]Feb 2023'!M45+'[8]March 2023'!L45</f>
        <v>0</v>
      </c>
      <c r="N45" s="139">
        <f t="shared" si="1"/>
        <v>261.04999999999995</v>
      </c>
      <c r="O45" s="139">
        <f>'[8]Feb 2023'!T45</f>
        <v>84.39</v>
      </c>
      <c r="P45" s="139">
        <v>0</v>
      </c>
      <c r="Q45" s="139">
        <f>'[8]Feb 2023'!Q45+'[8]March 2023'!P45</f>
        <v>69.64</v>
      </c>
      <c r="R45" s="139">
        <v>0</v>
      </c>
      <c r="S45" s="139">
        <f>'[8]Feb 2023'!S45+'[8]March 2023'!R45</f>
        <v>0</v>
      </c>
      <c r="T45" s="139">
        <f t="shared" si="2"/>
        <v>84.39</v>
      </c>
      <c r="U45" s="139">
        <f t="shared" si="3"/>
        <v>8709.2520999999979</v>
      </c>
    </row>
    <row r="46" spans="1:21" ht="38.25" customHeight="1" x14ac:dyDescent="0.35">
      <c r="A46" s="171">
        <v>30</v>
      </c>
      <c r="B46" s="231" t="s">
        <v>114</v>
      </c>
      <c r="C46" s="139">
        <f>'[8]Feb 2023'!H46</f>
        <v>7912.5450000000019</v>
      </c>
      <c r="D46" s="139">
        <v>34.69</v>
      </c>
      <c r="E46" s="139">
        <f>'[8]Feb 2023'!E46+'[8]March 2023'!D46</f>
        <v>208.74</v>
      </c>
      <c r="F46" s="139">
        <v>0</v>
      </c>
      <c r="G46" s="139">
        <f>'[8]Feb 2023'!G46+'[8]March 2023'!F46</f>
        <v>0</v>
      </c>
      <c r="H46" s="139">
        <f t="shared" si="0"/>
        <v>7947.2350000000015</v>
      </c>
      <c r="I46" s="139">
        <f>'[8]Feb 2023'!N46</f>
        <v>0</v>
      </c>
      <c r="J46" s="139">
        <v>0</v>
      </c>
      <c r="K46" s="139">
        <f>'[8]Feb 2023'!K46+'[8]March 2023'!J46</f>
        <v>0</v>
      </c>
      <c r="L46" s="139">
        <v>0</v>
      </c>
      <c r="M46" s="139">
        <f>'[8]Feb 2023'!M46+'[8]March 2023'!L46</f>
        <v>0</v>
      </c>
      <c r="N46" s="139">
        <f t="shared" si="1"/>
        <v>0</v>
      </c>
      <c r="O46" s="139">
        <f>'[8]Feb 2023'!T46</f>
        <v>47.03</v>
      </c>
      <c r="P46" s="139">
        <v>0</v>
      </c>
      <c r="Q46" s="139">
        <f>'[8]Feb 2023'!Q46+'[8]March 2023'!P46</f>
        <v>47.03</v>
      </c>
      <c r="R46" s="139">
        <v>0</v>
      </c>
      <c r="S46" s="139">
        <f>'[8]Feb 2023'!S46+'[8]March 2023'!R46</f>
        <v>0</v>
      </c>
      <c r="T46" s="139">
        <f t="shared" si="2"/>
        <v>47.03</v>
      </c>
      <c r="U46" s="139">
        <f t="shared" si="3"/>
        <v>7994.2650000000012</v>
      </c>
    </row>
    <row r="47" spans="1:21" s="111" customFormat="1" ht="38.25" customHeight="1" x14ac:dyDescent="0.4">
      <c r="A47" s="171">
        <v>31</v>
      </c>
      <c r="B47" s="231" t="s">
        <v>115</v>
      </c>
      <c r="C47" s="139">
        <f>'[8]Feb 2023'!H47</f>
        <v>9033.0499999999975</v>
      </c>
      <c r="D47" s="139">
        <v>44.65</v>
      </c>
      <c r="E47" s="139">
        <f>'[8]Feb 2023'!E47+'[8]March 2023'!D47</f>
        <v>293.06</v>
      </c>
      <c r="F47" s="139">
        <v>0</v>
      </c>
      <c r="G47" s="139">
        <f>'[8]Feb 2023'!G47+'[8]March 2023'!F47</f>
        <v>0</v>
      </c>
      <c r="H47" s="139">
        <f t="shared" si="0"/>
        <v>9077.6999999999971</v>
      </c>
      <c r="I47" s="139">
        <f>'[8]Feb 2023'!N47</f>
        <v>3.13</v>
      </c>
      <c r="J47" s="139">
        <v>0</v>
      </c>
      <c r="K47" s="139">
        <f>'[8]Feb 2023'!K47+'[8]March 2023'!J47</f>
        <v>0</v>
      </c>
      <c r="L47" s="139">
        <v>0</v>
      </c>
      <c r="M47" s="139">
        <f>'[8]Feb 2023'!M47+'[8]March 2023'!L47</f>
        <v>0</v>
      </c>
      <c r="N47" s="139">
        <f t="shared" si="1"/>
        <v>3.13</v>
      </c>
      <c r="O47" s="139">
        <f>'[8]Feb 2023'!T47</f>
        <v>118.94999999999999</v>
      </c>
      <c r="P47" s="139">
        <v>0</v>
      </c>
      <c r="Q47" s="139">
        <f>'[8]Feb 2023'!Q47+'[8]March 2023'!P47</f>
        <v>118.91999999999999</v>
      </c>
      <c r="R47" s="139">
        <v>0</v>
      </c>
      <c r="S47" s="139">
        <f>'[8]Feb 2023'!S47+'[8]March 2023'!R47</f>
        <v>0</v>
      </c>
      <c r="T47" s="139">
        <f t="shared" si="2"/>
        <v>118.94999999999999</v>
      </c>
      <c r="U47" s="139">
        <f t="shared" si="3"/>
        <v>9199.779999999997</v>
      </c>
    </row>
    <row r="48" spans="1:21" s="111" customFormat="1" ht="38.25" customHeight="1" x14ac:dyDescent="0.4">
      <c r="A48" s="171">
        <v>32</v>
      </c>
      <c r="B48" s="231" t="s">
        <v>116</v>
      </c>
      <c r="C48" s="139">
        <f>'[8]Feb 2023'!H48</f>
        <v>8597.3989999999976</v>
      </c>
      <c r="D48" s="139">
        <v>8.5500000000000007</v>
      </c>
      <c r="E48" s="139">
        <f>'[8]Feb 2023'!E48+'[8]March 2023'!D48</f>
        <v>409.15999999999997</v>
      </c>
      <c r="F48" s="139">
        <v>0</v>
      </c>
      <c r="G48" s="139">
        <f>'[8]Feb 2023'!G48+'[8]March 2023'!F48</f>
        <v>0</v>
      </c>
      <c r="H48" s="139">
        <f t="shared" si="0"/>
        <v>8605.9489999999969</v>
      </c>
      <c r="I48" s="139">
        <f>'[8]Feb 2023'!N48</f>
        <v>5.0249999999999995</v>
      </c>
      <c r="J48" s="139">
        <v>0</v>
      </c>
      <c r="K48" s="139">
        <f>'[8]Feb 2023'!K48+'[8]March 2023'!J48</f>
        <v>0</v>
      </c>
      <c r="L48" s="139">
        <v>0</v>
      </c>
      <c r="M48" s="139">
        <f>'[8]Feb 2023'!M48+'[8]March 2023'!L48</f>
        <v>0</v>
      </c>
      <c r="N48" s="139">
        <f t="shared" si="1"/>
        <v>5.0249999999999995</v>
      </c>
      <c r="O48" s="139">
        <f>'[8]Feb 2023'!T48</f>
        <v>4.21</v>
      </c>
      <c r="P48" s="139">
        <v>0</v>
      </c>
      <c r="Q48" s="139">
        <f>'[8]Feb 2023'!Q48+'[8]March 2023'!P48</f>
        <v>4.21</v>
      </c>
      <c r="R48" s="139">
        <v>0</v>
      </c>
      <c r="S48" s="139">
        <f>'[8]Feb 2023'!S48+'[8]March 2023'!R48</f>
        <v>0</v>
      </c>
      <c r="T48" s="139">
        <f t="shared" si="2"/>
        <v>4.21</v>
      </c>
      <c r="U48" s="139">
        <f t="shared" si="3"/>
        <v>8615.1839999999956</v>
      </c>
    </row>
    <row r="49" spans="1:21" s="111" customFormat="1" ht="38.25" customHeight="1" x14ac:dyDescent="0.4">
      <c r="A49" s="313" t="s">
        <v>117</v>
      </c>
      <c r="B49" s="313"/>
      <c r="C49" s="141">
        <f>SUM(C45:C48)</f>
        <v>33883.666099999995</v>
      </c>
      <c r="D49" s="141">
        <f t="shared" ref="D49:S49" si="14">SUM(D45:D48)</f>
        <v>111.02999999999999</v>
      </c>
      <c r="E49" s="141">
        <f t="shared" si="14"/>
        <v>1222.79</v>
      </c>
      <c r="F49" s="141">
        <f t="shared" si="14"/>
        <v>0</v>
      </c>
      <c r="G49" s="141">
        <f t="shared" si="14"/>
        <v>0</v>
      </c>
      <c r="H49" s="141">
        <f t="shared" si="0"/>
        <v>33994.696099999994</v>
      </c>
      <c r="I49" s="141">
        <f t="shared" si="14"/>
        <v>269.20499999999993</v>
      </c>
      <c r="J49" s="141">
        <f t="shared" si="14"/>
        <v>0</v>
      </c>
      <c r="K49" s="141">
        <f t="shared" si="14"/>
        <v>219.13</v>
      </c>
      <c r="L49" s="141">
        <f t="shared" si="14"/>
        <v>0</v>
      </c>
      <c r="M49" s="141">
        <f t="shared" si="14"/>
        <v>0</v>
      </c>
      <c r="N49" s="141">
        <f t="shared" si="1"/>
        <v>269.20499999999993</v>
      </c>
      <c r="O49" s="141">
        <f t="shared" si="14"/>
        <v>254.58</v>
      </c>
      <c r="P49" s="141">
        <f t="shared" si="14"/>
        <v>0</v>
      </c>
      <c r="Q49" s="141">
        <f t="shared" si="14"/>
        <v>239.79999999999998</v>
      </c>
      <c r="R49" s="141">
        <f t="shared" si="14"/>
        <v>0</v>
      </c>
      <c r="S49" s="141">
        <f t="shared" si="14"/>
        <v>0</v>
      </c>
      <c r="T49" s="141">
        <f t="shared" si="2"/>
        <v>254.58</v>
      </c>
      <c r="U49" s="141">
        <f t="shared" si="3"/>
        <v>34518.481099999997</v>
      </c>
    </row>
    <row r="50" spans="1:21" s="145" customFormat="1" ht="38.25" customHeight="1" x14ac:dyDescent="0.4">
      <c r="A50" s="313" t="s">
        <v>118</v>
      </c>
      <c r="B50" s="313"/>
      <c r="C50" s="141">
        <f>C49+C44</f>
        <v>72147.012099999993</v>
      </c>
      <c r="D50" s="141">
        <f t="shared" ref="D50:S50" si="15">D49+D44</f>
        <v>308.33999999999997</v>
      </c>
      <c r="E50" s="141">
        <f t="shared" si="15"/>
        <v>3022.0460000000003</v>
      </c>
      <c r="F50" s="141">
        <f t="shared" si="15"/>
        <v>0</v>
      </c>
      <c r="G50" s="141">
        <f t="shared" si="15"/>
        <v>0</v>
      </c>
      <c r="H50" s="141">
        <f t="shared" si="0"/>
        <v>72455.352099999989</v>
      </c>
      <c r="I50" s="141">
        <f t="shared" si="15"/>
        <v>495.72499999999991</v>
      </c>
      <c r="J50" s="141">
        <f t="shared" si="15"/>
        <v>0</v>
      </c>
      <c r="K50" s="141">
        <f t="shared" si="15"/>
        <v>219.13</v>
      </c>
      <c r="L50" s="141">
        <f t="shared" si="15"/>
        <v>0</v>
      </c>
      <c r="M50" s="141">
        <f t="shared" si="15"/>
        <v>0</v>
      </c>
      <c r="N50" s="141">
        <f t="shared" si="1"/>
        <v>495.72499999999991</v>
      </c>
      <c r="O50" s="141">
        <f t="shared" si="15"/>
        <v>737.95</v>
      </c>
      <c r="P50" s="141">
        <f t="shared" si="15"/>
        <v>0</v>
      </c>
      <c r="Q50" s="141">
        <f t="shared" si="15"/>
        <v>684.15000000000009</v>
      </c>
      <c r="R50" s="141">
        <f t="shared" si="15"/>
        <v>0</v>
      </c>
      <c r="S50" s="141">
        <f t="shared" si="15"/>
        <v>0</v>
      </c>
      <c r="T50" s="141">
        <f t="shared" si="2"/>
        <v>737.95</v>
      </c>
      <c r="U50" s="141">
        <f t="shared" si="3"/>
        <v>73689.027099999992</v>
      </c>
    </row>
    <row r="51" spans="1:21" s="146" customFormat="1" ht="38.25" customHeight="1" x14ac:dyDescent="0.4">
      <c r="A51" s="313" t="s">
        <v>119</v>
      </c>
      <c r="B51" s="313"/>
      <c r="C51" s="141">
        <f>C50+C39+C25</f>
        <v>118999.9439</v>
      </c>
      <c r="D51" s="141">
        <f t="shared" ref="D51:S51" si="16">D50+D39+D25</f>
        <v>440.28499999999997</v>
      </c>
      <c r="E51" s="141">
        <f t="shared" si="16"/>
        <v>4793.299</v>
      </c>
      <c r="F51" s="141">
        <f t="shared" si="16"/>
        <v>4.1099999999999994</v>
      </c>
      <c r="G51" s="141">
        <f t="shared" si="16"/>
        <v>769.67000000000007</v>
      </c>
      <c r="H51" s="141">
        <f t="shared" si="0"/>
        <v>119436.1189</v>
      </c>
      <c r="I51" s="141">
        <f t="shared" si="16"/>
        <v>10838.858</v>
      </c>
      <c r="J51" s="141">
        <f t="shared" si="16"/>
        <v>70.328000000000003</v>
      </c>
      <c r="K51" s="141">
        <f t="shared" si="16"/>
        <v>2486.3419999999996</v>
      </c>
      <c r="L51" s="141">
        <f t="shared" si="16"/>
        <v>0.3</v>
      </c>
      <c r="M51" s="141">
        <f t="shared" si="16"/>
        <v>8.1499999999999986</v>
      </c>
      <c r="N51" s="141">
        <f t="shared" si="1"/>
        <v>10908.886</v>
      </c>
      <c r="O51" s="141">
        <f t="shared" si="16"/>
        <v>1676.6</v>
      </c>
      <c r="P51" s="141">
        <f t="shared" si="16"/>
        <v>1.24</v>
      </c>
      <c r="Q51" s="141">
        <f t="shared" si="16"/>
        <v>814.79000000000019</v>
      </c>
      <c r="R51" s="141">
        <f t="shared" si="16"/>
        <v>0.6</v>
      </c>
      <c r="S51" s="141">
        <f t="shared" si="16"/>
        <v>79.03</v>
      </c>
      <c r="T51" s="141">
        <f t="shared" si="2"/>
        <v>1677.24</v>
      </c>
      <c r="U51" s="141">
        <f t="shared" si="3"/>
        <v>132022.24489999999</v>
      </c>
    </row>
    <row r="52" spans="1:21" s="115" customFormat="1" ht="24.75" hidden="1" customHeight="1" x14ac:dyDescent="0.4">
      <c r="B52" s="274"/>
      <c r="C52" s="278" t="s">
        <v>54</v>
      </c>
      <c r="D52" s="278"/>
      <c r="E52" s="278"/>
      <c r="F52" s="278"/>
      <c r="G52" s="278"/>
      <c r="H52" s="118"/>
      <c r="I52" s="274"/>
      <c r="J52" s="274">
        <f>D51+J51+P51-F51-L51-R51</f>
        <v>506.8429999999999</v>
      </c>
      <c r="K52" s="274"/>
      <c r="L52" s="274"/>
      <c r="M52" s="274"/>
      <c r="N52" s="274"/>
      <c r="R52" s="274"/>
      <c r="U52" s="274"/>
    </row>
    <row r="53" spans="1:21" s="115" customFormat="1" ht="30" hidden="1" customHeight="1" x14ac:dyDescent="0.35">
      <c r="B53" s="274"/>
      <c r="C53" s="278" t="s">
        <v>55</v>
      </c>
      <c r="D53" s="278"/>
      <c r="E53" s="278"/>
      <c r="F53" s="278"/>
      <c r="G53" s="278"/>
      <c r="H53" s="119"/>
      <c r="I53" s="274"/>
      <c r="J53" s="274">
        <f>E51+K51+Q51-G51-M51-S51</f>
        <v>7237.5810000000001</v>
      </c>
      <c r="K53" s="274"/>
      <c r="L53" s="274"/>
      <c r="M53" s="274"/>
      <c r="N53" s="274"/>
      <c r="R53" s="274"/>
      <c r="T53" s="274"/>
    </row>
    <row r="54" spans="1:21" ht="33" hidden="1" customHeight="1" x14ac:dyDescent="0.5">
      <c r="C54" s="278" t="s">
        <v>56</v>
      </c>
      <c r="D54" s="278"/>
      <c r="E54" s="278"/>
      <c r="F54" s="278"/>
      <c r="G54" s="278"/>
      <c r="H54" s="119"/>
      <c r="I54" s="121"/>
      <c r="J54" s="274">
        <f>H51+N51+T51</f>
        <v>132022.24489999999</v>
      </c>
      <c r="K54" s="119"/>
      <c r="L54" s="119"/>
      <c r="M54" s="142" t="e">
        <f>#REF!+'dec-2021'!J54</f>
        <v>#REF!</v>
      </c>
      <c r="N54" s="119"/>
      <c r="P54" s="115"/>
      <c r="Q54" s="122"/>
      <c r="U54" s="122"/>
    </row>
    <row r="55" spans="1:21" ht="33" hidden="1" customHeight="1" x14ac:dyDescent="0.5">
      <c r="C55" s="120"/>
      <c r="D55" s="274"/>
      <c r="E55" s="274"/>
      <c r="F55" s="274"/>
      <c r="G55" s="274"/>
      <c r="H55" s="119"/>
      <c r="I55" s="121"/>
      <c r="J55" s="274"/>
      <c r="K55" s="119"/>
      <c r="L55" s="119"/>
      <c r="M55" s="143"/>
      <c r="N55" s="119"/>
      <c r="P55" s="115"/>
      <c r="Q55" s="122"/>
      <c r="U55" s="122"/>
    </row>
    <row r="56" spans="1:21" ht="33" hidden="1" customHeight="1" x14ac:dyDescent="0.5">
      <c r="C56" s="120"/>
      <c r="D56" s="274"/>
      <c r="E56" s="274"/>
      <c r="F56" s="274"/>
      <c r="G56" s="274"/>
      <c r="H56" s="119"/>
      <c r="I56" s="121"/>
      <c r="J56" s="274"/>
      <c r="K56" s="119"/>
      <c r="L56" s="119"/>
      <c r="M56" s="142" t="e">
        <f>#REF!+'dec-2021'!J54</f>
        <v>#REF!</v>
      </c>
      <c r="N56" s="119"/>
      <c r="P56" s="115"/>
      <c r="Q56" s="122"/>
      <c r="U56" s="122"/>
    </row>
    <row r="57" spans="1:21" s="152" customFormat="1" ht="37.5" hidden="1" customHeight="1" x14ac:dyDescent="0.45">
      <c r="B57" s="287" t="s">
        <v>57</v>
      </c>
      <c r="C57" s="287"/>
      <c r="D57" s="287"/>
      <c r="E57" s="287"/>
      <c r="F57" s="287"/>
      <c r="G57" s="153"/>
      <c r="H57" s="154"/>
      <c r="I57" s="155"/>
      <c r="J57" s="288"/>
      <c r="K57" s="286"/>
      <c r="L57" s="286"/>
      <c r="M57" s="169" t="e">
        <f>#REF!+'dec-2021'!J54</f>
        <v>#REF!</v>
      </c>
      <c r="N57" s="154"/>
      <c r="O57" s="154"/>
      <c r="P57" s="275"/>
      <c r="Q57" s="287" t="s">
        <v>58</v>
      </c>
      <c r="R57" s="287"/>
      <c r="S57" s="287"/>
      <c r="T57" s="287"/>
      <c r="U57" s="287"/>
    </row>
    <row r="58" spans="1:21" s="152" customFormat="1" ht="37.5" hidden="1" customHeight="1" x14ac:dyDescent="0.45">
      <c r="B58" s="287" t="s">
        <v>59</v>
      </c>
      <c r="C58" s="287"/>
      <c r="D58" s="287"/>
      <c r="E58" s="287"/>
      <c r="F58" s="287"/>
      <c r="G58" s="154"/>
      <c r="H58" s="153"/>
      <c r="I58" s="156"/>
      <c r="J58" s="157"/>
      <c r="K58" s="276"/>
      <c r="L58" s="157"/>
      <c r="M58" s="154"/>
      <c r="N58" s="153"/>
      <c r="O58" s="154"/>
      <c r="P58" s="275"/>
      <c r="Q58" s="287" t="s">
        <v>59</v>
      </c>
      <c r="R58" s="287"/>
      <c r="S58" s="287"/>
      <c r="T58" s="287"/>
      <c r="U58" s="287"/>
    </row>
    <row r="59" spans="1:21" s="152" customFormat="1" ht="37.5" hidden="1" customHeight="1" x14ac:dyDescent="0.45">
      <c r="I59" s="158"/>
      <c r="J59" s="286" t="s">
        <v>61</v>
      </c>
      <c r="K59" s="286"/>
      <c r="L59" s="286"/>
      <c r="M59" s="159" t="e">
        <f>#REF!+'dec-2021'!J54</f>
        <v>#REF!</v>
      </c>
      <c r="P59" s="160"/>
      <c r="Q59" s="160"/>
      <c r="R59" s="160"/>
      <c r="S59" s="161"/>
      <c r="T59" s="160"/>
      <c r="U59" s="160"/>
    </row>
    <row r="60" spans="1:21" s="152" customFormat="1" ht="37.5" hidden="1" customHeight="1" x14ac:dyDescent="0.45">
      <c r="G60" s="162"/>
      <c r="H60" s="159" t="e">
        <f>#REF!+'dec-2021'!J54</f>
        <v>#REF!</v>
      </c>
      <c r="I60" s="158"/>
      <c r="J60" s="286" t="s">
        <v>62</v>
      </c>
      <c r="K60" s="286"/>
      <c r="L60" s="286"/>
      <c r="M60" s="159" t="e">
        <f>#REF!+'dec-2021'!J54</f>
        <v>#REF!</v>
      </c>
      <c r="P60" s="160"/>
      <c r="Q60" s="160"/>
      <c r="R60" s="160"/>
      <c r="S60" s="161"/>
      <c r="T60" s="160"/>
      <c r="U60" s="160"/>
    </row>
    <row r="61" spans="1:21" hidden="1" x14ac:dyDescent="0.35"/>
    <row r="62" spans="1:21" hidden="1" x14ac:dyDescent="0.35">
      <c r="H62" s="130"/>
      <c r="I62" s="131"/>
      <c r="J62" s="130"/>
    </row>
    <row r="63" spans="1:21" hidden="1" x14ac:dyDescent="0.35">
      <c r="H63" s="130"/>
      <c r="I63" s="131"/>
      <c r="J63" s="130"/>
    </row>
    <row r="64" spans="1:21" ht="18" customHeight="1" x14ac:dyDescent="0.35">
      <c r="H64" s="130"/>
      <c r="I64" s="131"/>
      <c r="J64" s="130"/>
    </row>
  </sheetData>
  <mergeCells count="44">
    <mergeCell ref="J59:L59"/>
    <mergeCell ref="J60:L60"/>
    <mergeCell ref="C52:G52"/>
    <mergeCell ref="C53:G53"/>
    <mergeCell ref="C54:G54"/>
    <mergeCell ref="B57:F57"/>
    <mergeCell ref="J57:L57"/>
    <mergeCell ref="A11:B11"/>
    <mergeCell ref="F5:G5"/>
    <mergeCell ref="H5:H6"/>
    <mergeCell ref="B58:F58"/>
    <mergeCell ref="Q58:U58"/>
    <mergeCell ref="Q57:U57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scale="15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Q15" sqref="Q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43" activePane="bottomLeft" state="frozen"/>
      <selection pane="bottomLeft" activeCell="B7" sqref="A7:B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133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02" t="s">
        <v>122</v>
      </c>
      <c r="B4" s="305" t="s">
        <v>121</v>
      </c>
      <c r="C4" s="281" t="s">
        <v>131</v>
      </c>
      <c r="D4" s="282"/>
      <c r="E4" s="282"/>
      <c r="F4" s="282"/>
      <c r="G4" s="282"/>
      <c r="H4" s="282"/>
      <c r="I4" s="281" t="s">
        <v>130</v>
      </c>
      <c r="J4" s="282"/>
      <c r="K4" s="282"/>
      <c r="L4" s="282"/>
      <c r="M4" s="282"/>
      <c r="N4" s="282"/>
      <c r="O4" s="281" t="s">
        <v>129</v>
      </c>
      <c r="P4" s="282"/>
      <c r="Q4" s="282"/>
      <c r="R4" s="282"/>
      <c r="S4" s="282"/>
      <c r="T4" s="282"/>
      <c r="U4" s="180"/>
    </row>
    <row r="5" spans="1:21" s="108" customFormat="1" ht="54.75" customHeight="1" x14ac:dyDescent="0.25">
      <c r="A5" s="304"/>
      <c r="B5" s="306"/>
      <c r="C5" s="291" t="s">
        <v>6</v>
      </c>
      <c r="D5" s="289" t="s">
        <v>127</v>
      </c>
      <c r="E5" s="290"/>
      <c r="F5" s="289" t="s">
        <v>126</v>
      </c>
      <c r="G5" s="290"/>
      <c r="H5" s="291" t="s">
        <v>9</v>
      </c>
      <c r="I5" s="291" t="s">
        <v>6</v>
      </c>
      <c r="J5" s="289" t="s">
        <v>127</v>
      </c>
      <c r="K5" s="290"/>
      <c r="L5" s="289" t="s">
        <v>126</v>
      </c>
      <c r="M5" s="290"/>
      <c r="N5" s="291" t="s">
        <v>9</v>
      </c>
      <c r="O5" s="291" t="s">
        <v>6</v>
      </c>
      <c r="P5" s="289" t="s">
        <v>127</v>
      </c>
      <c r="Q5" s="290"/>
      <c r="R5" s="289" t="s">
        <v>126</v>
      </c>
      <c r="S5" s="290"/>
      <c r="T5" s="291" t="s">
        <v>9</v>
      </c>
      <c r="U5" s="305" t="s">
        <v>128</v>
      </c>
    </row>
    <row r="6" spans="1:21" s="108" customFormat="1" ht="38.25" customHeight="1" x14ac:dyDescent="0.25">
      <c r="A6" s="304"/>
      <c r="B6" s="307"/>
      <c r="C6" s="292"/>
      <c r="D6" s="172" t="s">
        <v>124</v>
      </c>
      <c r="E6" s="172" t="s">
        <v>125</v>
      </c>
      <c r="F6" s="172" t="s">
        <v>124</v>
      </c>
      <c r="G6" s="172" t="s">
        <v>125</v>
      </c>
      <c r="H6" s="292"/>
      <c r="I6" s="292"/>
      <c r="J6" s="172" t="s">
        <v>124</v>
      </c>
      <c r="K6" s="172" t="s">
        <v>125</v>
      </c>
      <c r="L6" s="172" t="s">
        <v>124</v>
      </c>
      <c r="M6" s="172" t="s">
        <v>125</v>
      </c>
      <c r="N6" s="292"/>
      <c r="O6" s="292"/>
      <c r="P6" s="172" t="s">
        <v>124</v>
      </c>
      <c r="Q6" s="172" t="s">
        <v>125</v>
      </c>
      <c r="R6" s="172" t="s">
        <v>124</v>
      </c>
      <c r="S6" s="172" t="s">
        <v>125</v>
      </c>
      <c r="T6" s="292"/>
      <c r="U6" s="307"/>
    </row>
    <row r="7" spans="1:21" ht="38.25" customHeight="1" x14ac:dyDescent="0.35">
      <c r="A7" s="171">
        <v>1</v>
      </c>
      <c r="B7" s="172" t="s">
        <v>78</v>
      </c>
      <c r="C7" s="139">
        <v>459.88999999999987</v>
      </c>
      <c r="D7" s="139">
        <v>0</v>
      </c>
      <c r="E7" s="139">
        <v>0</v>
      </c>
      <c r="F7" s="139">
        <v>0</v>
      </c>
      <c r="G7" s="139">
        <v>0</v>
      </c>
      <c r="H7" s="139">
        <v>459.88999999999987</v>
      </c>
      <c r="I7" s="139">
        <v>551.05499999999984</v>
      </c>
      <c r="J7" s="139">
        <v>3.7890000000000001</v>
      </c>
      <c r="K7" s="139">
        <v>3.7890000000000001</v>
      </c>
      <c r="L7" s="139">
        <v>0</v>
      </c>
      <c r="M7" s="139">
        <v>0</v>
      </c>
      <c r="N7" s="139">
        <v>554.84399999999982</v>
      </c>
      <c r="O7" s="139">
        <v>70.100000000000009</v>
      </c>
      <c r="P7" s="139">
        <v>0</v>
      </c>
      <c r="Q7" s="139">
        <v>0</v>
      </c>
      <c r="R7" s="139">
        <v>0</v>
      </c>
      <c r="S7" s="139">
        <v>0</v>
      </c>
      <c r="T7" s="139">
        <v>70.100000000000009</v>
      </c>
      <c r="U7" s="139">
        <v>1084.8339999999996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78.67000000000003</v>
      </c>
      <c r="J8" s="139">
        <v>1.4049999999999998</v>
      </c>
      <c r="K8" s="139">
        <v>1.4049999999999998</v>
      </c>
      <c r="L8" s="139">
        <v>0</v>
      </c>
      <c r="M8" s="139">
        <v>0</v>
      </c>
      <c r="N8" s="139">
        <v>80.075000000000031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85.620000000000019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535.73800000000006</v>
      </c>
      <c r="J9" s="139">
        <v>2.27</v>
      </c>
      <c r="K9" s="139">
        <v>2.27</v>
      </c>
      <c r="L9" s="139">
        <v>0</v>
      </c>
      <c r="M9" s="139">
        <v>0</v>
      </c>
      <c r="N9" s="139">
        <v>538.00800000000004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891.57800000000009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480.39499999999992</v>
      </c>
      <c r="J10" s="139">
        <v>0.1</v>
      </c>
      <c r="K10" s="139">
        <v>0.1</v>
      </c>
      <c r="L10" s="139">
        <v>0</v>
      </c>
      <c r="M10" s="139">
        <v>0</v>
      </c>
      <c r="N10" s="139">
        <v>480.49499999999995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488.65499999999997</v>
      </c>
    </row>
    <row r="11" spans="1:21" s="111" customFormat="1" ht="38.25" customHeight="1" x14ac:dyDescent="0.4">
      <c r="A11" s="308" t="s">
        <v>82</v>
      </c>
      <c r="B11" s="309"/>
      <c r="C11" s="141">
        <v>781.34499999999991</v>
      </c>
      <c r="D11" s="141">
        <v>0</v>
      </c>
      <c r="E11" s="141">
        <v>0</v>
      </c>
      <c r="F11" s="141">
        <v>0</v>
      </c>
      <c r="G11" s="141">
        <v>0</v>
      </c>
      <c r="H11" s="141">
        <v>781.34499999999991</v>
      </c>
      <c r="I11" s="141">
        <v>1645.8579999999999</v>
      </c>
      <c r="J11" s="141">
        <v>7.5640000000000001</v>
      </c>
      <c r="K11" s="141">
        <v>7.5640000000000001</v>
      </c>
      <c r="L11" s="141">
        <v>0</v>
      </c>
      <c r="M11" s="141">
        <v>0</v>
      </c>
      <c r="N11" s="141">
        <v>1653.4219999999998</v>
      </c>
      <c r="O11" s="141">
        <v>115.92</v>
      </c>
      <c r="P11" s="141">
        <v>0</v>
      </c>
      <c r="Q11" s="141">
        <v>0</v>
      </c>
      <c r="R11" s="141">
        <v>0</v>
      </c>
      <c r="S11" s="141">
        <v>0</v>
      </c>
      <c r="T11" s="141">
        <v>115.92</v>
      </c>
      <c r="U11" s="141">
        <v>2550.6869999999999</v>
      </c>
    </row>
    <row r="12" spans="1:21" ht="38.25" customHeight="1" x14ac:dyDescent="0.35">
      <c r="A12" s="171">
        <v>4</v>
      </c>
      <c r="B12" s="172" t="s">
        <v>83</v>
      </c>
      <c r="C12" s="139">
        <v>558.03999999999962</v>
      </c>
      <c r="D12" s="139">
        <v>0</v>
      </c>
      <c r="E12" s="139">
        <v>0</v>
      </c>
      <c r="F12" s="139">
        <v>0</v>
      </c>
      <c r="G12" s="139">
        <v>0</v>
      </c>
      <c r="H12" s="139">
        <v>558.03999999999962</v>
      </c>
      <c r="I12" s="139">
        <v>722.03999999999985</v>
      </c>
      <c r="J12" s="139">
        <v>1.0349999999999999</v>
      </c>
      <c r="K12" s="139">
        <v>1.0349999999999999</v>
      </c>
      <c r="L12" s="139">
        <v>0</v>
      </c>
      <c r="M12" s="139">
        <v>0</v>
      </c>
      <c r="N12" s="139">
        <v>723.07499999999982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1323.7949999999994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520.9000000000002</v>
      </c>
      <c r="J13" s="139">
        <v>0.54200000000000004</v>
      </c>
      <c r="K13" s="139">
        <v>0.54200000000000004</v>
      </c>
      <c r="L13" s="139">
        <v>0</v>
      </c>
      <c r="M13" s="139">
        <v>0</v>
      </c>
      <c r="N13" s="139">
        <v>521.44200000000023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858.55200000000036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</v>
      </c>
      <c r="E14" s="139">
        <v>0</v>
      </c>
      <c r="F14" s="139">
        <v>0</v>
      </c>
      <c r="G14" s="139">
        <v>0</v>
      </c>
      <c r="H14" s="139">
        <v>1277.7599999999993</v>
      </c>
      <c r="I14" s="139">
        <v>828.4000000000002</v>
      </c>
      <c r="J14" s="139">
        <v>20.077999999999999</v>
      </c>
      <c r="K14" s="139">
        <v>20.077999999999999</v>
      </c>
      <c r="L14" s="139">
        <v>0</v>
      </c>
      <c r="M14" s="139">
        <v>0</v>
      </c>
      <c r="N14" s="139">
        <v>848.47800000000018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2183.9879999999994</v>
      </c>
    </row>
    <row r="15" spans="1:21" s="111" customFormat="1" ht="38.25" customHeight="1" x14ac:dyDescent="0.4">
      <c r="A15" s="308" t="s">
        <v>86</v>
      </c>
      <c r="B15" s="309"/>
      <c r="C15" s="141">
        <v>2151.4199999999992</v>
      </c>
      <c r="D15" s="141">
        <v>0</v>
      </c>
      <c r="E15" s="141">
        <v>0</v>
      </c>
      <c r="F15" s="141">
        <v>0</v>
      </c>
      <c r="G15" s="141">
        <v>0</v>
      </c>
      <c r="H15" s="141">
        <v>2151.4199999999992</v>
      </c>
      <c r="I15" s="141">
        <v>2071.34</v>
      </c>
      <c r="J15" s="141">
        <v>21.655000000000001</v>
      </c>
      <c r="K15" s="141">
        <v>21.655000000000001</v>
      </c>
      <c r="L15" s="141">
        <v>0</v>
      </c>
      <c r="M15" s="141">
        <v>0</v>
      </c>
      <c r="N15" s="141">
        <v>2092.9950000000003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4366.3349999999991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1024.7940000000003</v>
      </c>
      <c r="D16" s="139">
        <v>0.18</v>
      </c>
      <c r="E16" s="139">
        <v>0.18</v>
      </c>
      <c r="F16" s="139">
        <v>0</v>
      </c>
      <c r="G16" s="139">
        <v>0</v>
      </c>
      <c r="H16" s="139">
        <v>1024.9740000000004</v>
      </c>
      <c r="I16" s="139">
        <v>110.77099999999997</v>
      </c>
      <c r="J16" s="139">
        <v>0.42499999999999999</v>
      </c>
      <c r="K16" s="139">
        <v>0.42499999999999999</v>
      </c>
      <c r="L16" s="139">
        <v>0</v>
      </c>
      <c r="M16" s="139">
        <v>0</v>
      </c>
      <c r="N16" s="139">
        <v>111.19599999999997</v>
      </c>
      <c r="O16" s="139">
        <v>245.90200000000002</v>
      </c>
      <c r="P16" s="139">
        <v>0</v>
      </c>
      <c r="Q16" s="139">
        <v>0</v>
      </c>
      <c r="R16" s="139">
        <v>0</v>
      </c>
      <c r="S16" s="139">
        <v>0</v>
      </c>
      <c r="T16" s="139">
        <v>245.90200000000002</v>
      </c>
      <c r="U16" s="139">
        <v>1382.0720000000003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</v>
      </c>
      <c r="F17" s="174">
        <v>0</v>
      </c>
      <c r="G17" s="139">
        <v>0</v>
      </c>
      <c r="H17" s="139">
        <v>183.82599999999994</v>
      </c>
      <c r="I17" s="139">
        <v>340.74000000000012</v>
      </c>
      <c r="J17" s="174">
        <v>0.37500000000000006</v>
      </c>
      <c r="K17" s="139">
        <v>0.37500000000000006</v>
      </c>
      <c r="L17" s="174">
        <v>0</v>
      </c>
      <c r="M17" s="139">
        <v>0</v>
      </c>
      <c r="N17" s="139">
        <v>341.11500000000012</v>
      </c>
      <c r="O17" s="139">
        <v>64.375</v>
      </c>
      <c r="P17" s="174">
        <v>0</v>
      </c>
      <c r="Q17" s="139">
        <v>0</v>
      </c>
      <c r="R17" s="174">
        <v>0</v>
      </c>
      <c r="S17" s="139">
        <v>0</v>
      </c>
      <c r="T17" s="139">
        <v>64.375</v>
      </c>
      <c r="U17" s="139">
        <v>589.31600000000003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</v>
      </c>
      <c r="E18" s="139">
        <v>0</v>
      </c>
      <c r="F18" s="139">
        <v>0</v>
      </c>
      <c r="G18" s="139">
        <v>0</v>
      </c>
      <c r="H18" s="139">
        <v>210.55600000000007</v>
      </c>
      <c r="I18" s="139">
        <v>346.20699999999999</v>
      </c>
      <c r="J18" s="139">
        <v>1.0150000000000001</v>
      </c>
      <c r="K18" s="139">
        <v>1.0150000000000001</v>
      </c>
      <c r="L18" s="139">
        <v>0</v>
      </c>
      <c r="M18" s="139">
        <v>0</v>
      </c>
      <c r="N18" s="139">
        <v>347.22199999999998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566.15300000000002</v>
      </c>
    </row>
    <row r="19" spans="1:21" s="111" customFormat="1" ht="38.25" customHeight="1" x14ac:dyDescent="0.4">
      <c r="A19" s="308" t="s">
        <v>89</v>
      </c>
      <c r="B19" s="309"/>
      <c r="C19" s="141">
        <v>1419.1760000000004</v>
      </c>
      <c r="D19" s="141">
        <v>0.18</v>
      </c>
      <c r="E19" s="141">
        <v>0.18</v>
      </c>
      <c r="F19" s="141">
        <v>0</v>
      </c>
      <c r="G19" s="141">
        <v>0</v>
      </c>
      <c r="H19" s="141">
        <v>1419.3560000000004</v>
      </c>
      <c r="I19" s="141">
        <v>797.71800000000007</v>
      </c>
      <c r="J19" s="141">
        <v>1.8150000000000002</v>
      </c>
      <c r="K19" s="141">
        <v>1.8150000000000002</v>
      </c>
      <c r="L19" s="141">
        <v>0</v>
      </c>
      <c r="M19" s="141">
        <v>0</v>
      </c>
      <c r="N19" s="141">
        <v>799.53300000000013</v>
      </c>
      <c r="O19" s="141">
        <v>318.65200000000004</v>
      </c>
      <c r="P19" s="141">
        <v>0</v>
      </c>
      <c r="Q19" s="141">
        <v>0</v>
      </c>
      <c r="R19" s="141">
        <v>0</v>
      </c>
      <c r="S19" s="141">
        <v>0</v>
      </c>
      <c r="T19" s="141">
        <v>318.65200000000004</v>
      </c>
      <c r="U19" s="141">
        <v>2537.5410000000002</v>
      </c>
    </row>
    <row r="20" spans="1:21" ht="38.25" customHeight="1" x14ac:dyDescent="0.35">
      <c r="A20" s="171">
        <v>8</v>
      </c>
      <c r="B20" s="172" t="s">
        <v>91</v>
      </c>
      <c r="C20" s="139">
        <v>639.65</v>
      </c>
      <c r="D20" s="139">
        <v>0.18</v>
      </c>
      <c r="E20" s="139">
        <v>0.18</v>
      </c>
      <c r="F20" s="139">
        <v>0</v>
      </c>
      <c r="G20" s="139">
        <v>0</v>
      </c>
      <c r="H20" s="139">
        <v>639.82999999999993</v>
      </c>
      <c r="I20" s="139">
        <v>390.01000000000005</v>
      </c>
      <c r="J20" s="139">
        <v>0.7</v>
      </c>
      <c r="K20" s="139">
        <v>0.7</v>
      </c>
      <c r="L20" s="139">
        <v>0</v>
      </c>
      <c r="M20" s="139">
        <v>0</v>
      </c>
      <c r="N20" s="139">
        <v>390.71000000000004</v>
      </c>
      <c r="O20" s="139">
        <v>40.220000000000006</v>
      </c>
      <c r="P20" s="139">
        <v>0</v>
      </c>
      <c r="Q20" s="139">
        <v>0</v>
      </c>
      <c r="R20" s="139">
        <v>0</v>
      </c>
      <c r="S20" s="139">
        <v>0</v>
      </c>
      <c r="T20" s="139">
        <v>40.220000000000006</v>
      </c>
      <c r="U20" s="139">
        <v>1070.76</v>
      </c>
    </row>
    <row r="21" spans="1:21" ht="38.25" customHeight="1" x14ac:dyDescent="0.35">
      <c r="A21" s="171">
        <v>9</v>
      </c>
      <c r="B21" s="172" t="s">
        <v>90</v>
      </c>
      <c r="C21" s="139">
        <v>18.919999999999995</v>
      </c>
      <c r="D21" s="139">
        <v>0</v>
      </c>
      <c r="E21" s="139">
        <v>0</v>
      </c>
      <c r="F21" s="139">
        <v>0</v>
      </c>
      <c r="G21" s="139">
        <v>0</v>
      </c>
      <c r="H21" s="139">
        <v>18.919999999999995</v>
      </c>
      <c r="I21" s="139">
        <v>388.50299999999999</v>
      </c>
      <c r="J21" s="139">
        <v>0.56999999999999995</v>
      </c>
      <c r="K21" s="139">
        <v>0.56999999999999995</v>
      </c>
      <c r="L21" s="139">
        <v>0</v>
      </c>
      <c r="M21" s="139">
        <v>0</v>
      </c>
      <c r="N21" s="139">
        <v>389.07299999999998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427.553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</v>
      </c>
      <c r="E22" s="139">
        <v>0</v>
      </c>
      <c r="F22" s="139">
        <v>0</v>
      </c>
      <c r="G22" s="139">
        <v>0</v>
      </c>
      <c r="H22" s="139">
        <v>180.71000000000004</v>
      </c>
      <c r="I22" s="139">
        <v>353.46499999999997</v>
      </c>
      <c r="J22" s="139">
        <v>0.05</v>
      </c>
      <c r="K22" s="139">
        <v>0.05</v>
      </c>
      <c r="L22" s="139">
        <v>0</v>
      </c>
      <c r="M22" s="139">
        <v>0</v>
      </c>
      <c r="N22" s="139">
        <v>353.51499999999999</v>
      </c>
      <c r="O22" s="139">
        <v>13.350000000000001</v>
      </c>
      <c r="P22" s="139">
        <v>0</v>
      </c>
      <c r="Q22" s="139">
        <v>0</v>
      </c>
      <c r="R22" s="139">
        <v>0</v>
      </c>
      <c r="S22" s="139">
        <v>0</v>
      </c>
      <c r="T22" s="139">
        <v>13.350000000000001</v>
      </c>
      <c r="U22" s="139">
        <v>547.57500000000005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422.29499999999985</v>
      </c>
      <c r="D23" s="139">
        <v>0</v>
      </c>
      <c r="E23" s="139">
        <v>0</v>
      </c>
      <c r="F23" s="139">
        <v>0</v>
      </c>
      <c r="G23" s="139">
        <v>0</v>
      </c>
      <c r="H23" s="139">
        <v>422.29499999999985</v>
      </c>
      <c r="I23" s="139">
        <v>76.8</v>
      </c>
      <c r="J23" s="139">
        <v>1.27</v>
      </c>
      <c r="K23" s="139">
        <v>1.27</v>
      </c>
      <c r="L23" s="139">
        <v>0</v>
      </c>
      <c r="M23" s="139">
        <v>0</v>
      </c>
      <c r="N23" s="139">
        <v>78.069999999999993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522.86499999999978</v>
      </c>
    </row>
    <row r="24" spans="1:21" s="111" customFormat="1" ht="38.25" customHeight="1" x14ac:dyDescent="0.4">
      <c r="A24" s="310" t="s">
        <v>94</v>
      </c>
      <c r="B24" s="310"/>
      <c r="C24" s="141">
        <v>1261.5749999999998</v>
      </c>
      <c r="D24" s="141">
        <v>0.18</v>
      </c>
      <c r="E24" s="141">
        <v>0.18</v>
      </c>
      <c r="F24" s="141">
        <v>0</v>
      </c>
      <c r="G24" s="141">
        <v>0</v>
      </c>
      <c r="H24" s="141">
        <v>1261.7549999999997</v>
      </c>
      <c r="I24" s="141">
        <v>1208.778</v>
      </c>
      <c r="J24" s="141">
        <v>2.59</v>
      </c>
      <c r="K24" s="141">
        <v>2.59</v>
      </c>
      <c r="L24" s="141">
        <v>0</v>
      </c>
      <c r="M24" s="141">
        <v>0</v>
      </c>
      <c r="N24" s="141">
        <v>1211.3679999999999</v>
      </c>
      <c r="O24" s="141">
        <v>95.63</v>
      </c>
      <c r="P24" s="141">
        <v>0</v>
      </c>
      <c r="Q24" s="141">
        <v>0</v>
      </c>
      <c r="R24" s="141">
        <v>0</v>
      </c>
      <c r="S24" s="141">
        <v>0</v>
      </c>
      <c r="T24" s="141">
        <v>95.63</v>
      </c>
      <c r="U24" s="141">
        <v>2568.7529999999997</v>
      </c>
    </row>
    <row r="25" spans="1:21" s="145" customFormat="1" ht="38.25" customHeight="1" x14ac:dyDescent="0.4">
      <c r="A25" s="311" t="s">
        <v>95</v>
      </c>
      <c r="B25" s="312"/>
      <c r="C25" s="141">
        <v>5613.5159999999996</v>
      </c>
      <c r="D25" s="141">
        <v>0.36</v>
      </c>
      <c r="E25" s="141">
        <v>0.36</v>
      </c>
      <c r="F25" s="141">
        <v>0</v>
      </c>
      <c r="G25" s="141">
        <v>0</v>
      </c>
      <c r="H25" s="141">
        <v>5613.8759999999993</v>
      </c>
      <c r="I25" s="141">
        <v>5723.6940000000004</v>
      </c>
      <c r="J25" s="141">
        <v>33.624000000000002</v>
      </c>
      <c r="K25" s="141">
        <v>33.624000000000002</v>
      </c>
      <c r="L25" s="141">
        <v>0</v>
      </c>
      <c r="M25" s="141">
        <v>0</v>
      </c>
      <c r="N25" s="141">
        <v>5757.3180000000002</v>
      </c>
      <c r="O25" s="141">
        <v>652.12199999999996</v>
      </c>
      <c r="P25" s="141">
        <v>0</v>
      </c>
      <c r="Q25" s="141">
        <v>0</v>
      </c>
      <c r="R25" s="141">
        <v>0</v>
      </c>
      <c r="S25" s="141">
        <v>0</v>
      </c>
      <c r="T25" s="141">
        <v>652.12199999999996</v>
      </c>
      <c r="U25" s="141">
        <v>12023.315999999999</v>
      </c>
    </row>
    <row r="26" spans="1:21" ht="38.25" customHeight="1" x14ac:dyDescent="0.35">
      <c r="A26" s="171">
        <v>15</v>
      </c>
      <c r="B26" s="172" t="s">
        <v>96</v>
      </c>
      <c r="C26" s="139">
        <v>7400.646999999999</v>
      </c>
      <c r="D26" s="139">
        <v>15.179</v>
      </c>
      <c r="E26" s="139">
        <v>15.179</v>
      </c>
      <c r="F26" s="139">
        <v>0</v>
      </c>
      <c r="G26" s="139">
        <v>0</v>
      </c>
      <c r="H26" s="139">
        <v>7415.8259999999991</v>
      </c>
      <c r="I26" s="139">
        <v>59.050000000000004</v>
      </c>
      <c r="J26" s="139">
        <v>0</v>
      </c>
      <c r="K26" s="139">
        <v>0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0</v>
      </c>
      <c r="Q26" s="139">
        <v>0</v>
      </c>
      <c r="R26" s="139">
        <v>0</v>
      </c>
      <c r="S26" s="139">
        <v>0</v>
      </c>
      <c r="T26" s="139">
        <v>1.02</v>
      </c>
      <c r="U26" s="139">
        <v>7475.8959999999997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5468.5000000000018</v>
      </c>
      <c r="D27" s="139">
        <v>7.2349999999999994</v>
      </c>
      <c r="E27" s="139">
        <v>7.2349999999999994</v>
      </c>
      <c r="F27" s="139">
        <v>0</v>
      </c>
      <c r="G27" s="139">
        <v>0</v>
      </c>
      <c r="H27" s="139">
        <v>5475.7350000000015</v>
      </c>
      <c r="I27" s="139">
        <v>555.99800000000005</v>
      </c>
      <c r="J27" s="139">
        <v>1.3199999999999998</v>
      </c>
      <c r="K27" s="139">
        <v>1.3199999999999998</v>
      </c>
      <c r="L27" s="139">
        <v>0</v>
      </c>
      <c r="M27" s="139">
        <v>0</v>
      </c>
      <c r="N27" s="139">
        <v>557.3180000000001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6049.9730000000018</v>
      </c>
    </row>
    <row r="28" spans="1:21" s="111" customFormat="1" ht="38.25" customHeight="1" x14ac:dyDescent="0.4">
      <c r="A28" s="310" t="s">
        <v>98</v>
      </c>
      <c r="B28" s="310"/>
      <c r="C28" s="141">
        <v>12869.147000000001</v>
      </c>
      <c r="D28" s="141">
        <v>22.414000000000001</v>
      </c>
      <c r="E28" s="141">
        <v>22.414000000000001</v>
      </c>
      <c r="F28" s="141">
        <v>0</v>
      </c>
      <c r="G28" s="141">
        <v>0</v>
      </c>
      <c r="H28" s="141">
        <v>12891.561000000002</v>
      </c>
      <c r="I28" s="141">
        <v>615.048</v>
      </c>
      <c r="J28" s="141">
        <v>1.3199999999999998</v>
      </c>
      <c r="K28" s="141">
        <v>1.3199999999999998</v>
      </c>
      <c r="L28" s="141">
        <v>0</v>
      </c>
      <c r="M28" s="141">
        <v>0</v>
      </c>
      <c r="N28" s="141">
        <v>616.36800000000005</v>
      </c>
      <c r="O28" s="141">
        <v>17.940000000000001</v>
      </c>
      <c r="P28" s="141">
        <v>0</v>
      </c>
      <c r="Q28" s="141">
        <v>0</v>
      </c>
      <c r="R28" s="141">
        <v>0</v>
      </c>
      <c r="S28" s="141">
        <v>0</v>
      </c>
      <c r="T28" s="141">
        <v>17.940000000000001</v>
      </c>
      <c r="U28" s="141">
        <v>13525.869000000002</v>
      </c>
    </row>
    <row r="29" spans="1:21" ht="38.25" customHeight="1" x14ac:dyDescent="0.35">
      <c r="A29" s="171">
        <v>17</v>
      </c>
      <c r="B29" s="172" t="s">
        <v>99</v>
      </c>
      <c r="C29" s="139">
        <v>4383.0770000000002</v>
      </c>
      <c r="D29" s="139">
        <v>7.4210000000000003</v>
      </c>
      <c r="E29" s="139">
        <v>7.4210000000000003</v>
      </c>
      <c r="F29" s="139">
        <v>0</v>
      </c>
      <c r="G29" s="139">
        <v>0</v>
      </c>
      <c r="H29" s="139">
        <v>4390.4980000000005</v>
      </c>
      <c r="I29" s="139">
        <v>96.66</v>
      </c>
      <c r="J29" s="139">
        <v>0</v>
      </c>
      <c r="K29" s="139">
        <v>0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4544.8780000000006</v>
      </c>
    </row>
    <row r="30" spans="1:21" ht="38.25" customHeight="1" x14ac:dyDescent="0.35">
      <c r="A30" s="171">
        <v>18</v>
      </c>
      <c r="B30" s="172" t="s">
        <v>100</v>
      </c>
      <c r="C30" s="139">
        <v>402.91199999999992</v>
      </c>
      <c r="D30" s="139">
        <v>0.71899999999999997</v>
      </c>
      <c r="E30" s="139">
        <v>0.71899999999999997</v>
      </c>
      <c r="F30" s="139">
        <v>0</v>
      </c>
      <c r="G30" s="139">
        <v>0</v>
      </c>
      <c r="H30" s="139">
        <v>403.63099999999991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425.17799999999994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4223.5510000000004</v>
      </c>
      <c r="D31" s="139">
        <v>3.94</v>
      </c>
      <c r="E31" s="139">
        <v>3.94</v>
      </c>
      <c r="F31" s="139">
        <v>0</v>
      </c>
      <c r="G31" s="139">
        <v>0</v>
      </c>
      <c r="H31" s="139">
        <v>4227.491</v>
      </c>
      <c r="I31" s="139">
        <v>100.31000000000002</v>
      </c>
      <c r="J31" s="139">
        <v>0.28000000000000003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4486.4310000000005</v>
      </c>
    </row>
    <row r="32" spans="1:21" ht="38.25" customHeight="1" x14ac:dyDescent="0.35">
      <c r="A32" s="171">
        <v>20</v>
      </c>
      <c r="B32" s="172" t="s">
        <v>102</v>
      </c>
      <c r="C32" s="139">
        <v>2577.3157999999999</v>
      </c>
      <c r="D32" s="139">
        <v>3.67</v>
      </c>
      <c r="E32" s="139">
        <v>3.67</v>
      </c>
      <c r="F32" s="139">
        <v>0</v>
      </c>
      <c r="G32" s="139">
        <v>0</v>
      </c>
      <c r="H32" s="139">
        <v>2580.9857999999999</v>
      </c>
      <c r="I32" s="139">
        <v>182.06100000000004</v>
      </c>
      <c r="J32" s="139">
        <v>2.36</v>
      </c>
      <c r="K32" s="139">
        <v>2.36</v>
      </c>
      <c r="L32" s="139">
        <v>0</v>
      </c>
      <c r="M32" s="139">
        <v>0</v>
      </c>
      <c r="N32" s="139">
        <v>184.42100000000005</v>
      </c>
      <c r="O32" s="139">
        <v>20.785</v>
      </c>
      <c r="P32" s="139">
        <v>7.0000000000000001E-3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2786.1987999999997</v>
      </c>
    </row>
    <row r="33" spans="1:21" s="111" customFormat="1" ht="38.25" customHeight="1" x14ac:dyDescent="0.4">
      <c r="A33" s="310" t="s">
        <v>99</v>
      </c>
      <c r="B33" s="310"/>
      <c r="C33" s="141">
        <v>11586.855800000001</v>
      </c>
      <c r="D33" s="141">
        <v>15.75</v>
      </c>
      <c r="E33" s="141">
        <v>15.75</v>
      </c>
      <c r="F33" s="141">
        <v>0</v>
      </c>
      <c r="G33" s="141">
        <v>0</v>
      </c>
      <c r="H33" s="141">
        <v>11602.605800000001</v>
      </c>
      <c r="I33" s="141">
        <v>400.52800000000002</v>
      </c>
      <c r="J33" s="141">
        <v>2.6399999999999997</v>
      </c>
      <c r="K33" s="141">
        <v>2.6399999999999997</v>
      </c>
      <c r="L33" s="141">
        <v>0</v>
      </c>
      <c r="M33" s="141">
        <v>0</v>
      </c>
      <c r="N33" s="141">
        <v>403.16800000000006</v>
      </c>
      <c r="O33" s="141">
        <v>236.905</v>
      </c>
      <c r="P33" s="141">
        <v>7.0000000000000001E-3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12242.685800000001</v>
      </c>
    </row>
    <row r="34" spans="1:21" ht="38.25" customHeight="1" x14ac:dyDescent="0.35">
      <c r="A34" s="171">
        <v>21</v>
      </c>
      <c r="B34" s="172" t="s">
        <v>103</v>
      </c>
      <c r="C34" s="139">
        <v>4372.2900000000009</v>
      </c>
      <c r="D34" s="139">
        <v>0.9</v>
      </c>
      <c r="E34" s="139">
        <v>0.9</v>
      </c>
      <c r="F34" s="139">
        <v>0</v>
      </c>
      <c r="G34" s="139">
        <v>0</v>
      </c>
      <c r="H34" s="139">
        <v>4373.1900000000005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4382.59</v>
      </c>
    </row>
    <row r="35" spans="1:21" ht="38.25" customHeight="1" x14ac:dyDescent="0.35">
      <c r="A35" s="171">
        <v>22</v>
      </c>
      <c r="B35" s="172" t="s">
        <v>104</v>
      </c>
      <c r="C35" s="139">
        <v>5886.6199999999981</v>
      </c>
      <c r="D35" s="139">
        <v>11.52</v>
      </c>
      <c r="E35" s="139">
        <v>11.52</v>
      </c>
      <c r="F35" s="139">
        <v>0</v>
      </c>
      <c r="G35" s="139">
        <v>0</v>
      </c>
      <c r="H35" s="139">
        <v>5898.1399999999985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5902.1699999999983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2935.1699999999996</v>
      </c>
      <c r="D36" s="139">
        <v>0</v>
      </c>
      <c r="E36" s="139">
        <v>0</v>
      </c>
      <c r="F36" s="139">
        <v>0</v>
      </c>
      <c r="G36" s="139">
        <v>0</v>
      </c>
      <c r="H36" s="139">
        <v>2935.1699999999996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3093.0199999999995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4701.4399999999987</v>
      </c>
      <c r="D37" s="139">
        <v>8.58</v>
      </c>
      <c r="E37" s="139">
        <v>8.58</v>
      </c>
      <c r="F37" s="139">
        <v>0</v>
      </c>
      <c r="G37" s="139">
        <v>0</v>
      </c>
      <c r="H37" s="139">
        <v>4710.0199999999986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4717.9799999999987</v>
      </c>
    </row>
    <row r="38" spans="1:21" s="111" customFormat="1" ht="38.25" customHeight="1" x14ac:dyDescent="0.4">
      <c r="A38" s="310" t="s">
        <v>107</v>
      </c>
      <c r="B38" s="310"/>
      <c r="C38" s="141">
        <v>17895.519999999997</v>
      </c>
      <c r="D38" s="141">
        <v>21</v>
      </c>
      <c r="E38" s="141">
        <v>21</v>
      </c>
      <c r="F38" s="141">
        <v>0</v>
      </c>
      <c r="G38" s="141">
        <v>0</v>
      </c>
      <c r="H38" s="141">
        <v>17916.519999999997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18095.759999999998</v>
      </c>
    </row>
    <row r="39" spans="1:21" s="145" customFormat="1" ht="38.25" customHeight="1" x14ac:dyDescent="0.4">
      <c r="A39" s="310" t="s">
        <v>108</v>
      </c>
      <c r="B39" s="310"/>
      <c r="C39" s="141">
        <v>42351.522799999999</v>
      </c>
      <c r="D39" s="141">
        <v>59.164000000000001</v>
      </c>
      <c r="E39" s="141">
        <v>59.164000000000001</v>
      </c>
      <c r="F39" s="141">
        <v>0</v>
      </c>
      <c r="G39" s="141">
        <v>0</v>
      </c>
      <c r="H39" s="141">
        <v>42410.686799999996</v>
      </c>
      <c r="I39" s="141">
        <v>1191.546</v>
      </c>
      <c r="J39" s="141">
        <v>3.9599999999999995</v>
      </c>
      <c r="K39" s="141">
        <v>3.9599999999999995</v>
      </c>
      <c r="L39" s="141">
        <v>0</v>
      </c>
      <c r="M39" s="141">
        <v>0</v>
      </c>
      <c r="N39" s="141">
        <v>1195.5060000000003</v>
      </c>
      <c r="O39" s="141">
        <v>258.11500000000001</v>
      </c>
      <c r="P39" s="141">
        <v>7.0000000000000001E-3</v>
      </c>
      <c r="Q39" s="141">
        <v>7.0000000000000001E-3</v>
      </c>
      <c r="R39" s="141">
        <v>0</v>
      </c>
      <c r="S39" s="141">
        <v>0</v>
      </c>
      <c r="T39" s="141">
        <v>258.12200000000001</v>
      </c>
      <c r="U39" s="141">
        <v>43864.314800000007</v>
      </c>
    </row>
    <row r="40" spans="1:21" ht="38.25" customHeight="1" x14ac:dyDescent="0.35">
      <c r="A40" s="171">
        <v>25</v>
      </c>
      <c r="B40" s="172" t="s">
        <v>109</v>
      </c>
      <c r="C40" s="139">
        <v>10994.859999999997</v>
      </c>
      <c r="D40" s="139">
        <v>28.413999999999998</v>
      </c>
      <c r="E40" s="139">
        <v>28.413999999999998</v>
      </c>
      <c r="F40" s="139">
        <v>0</v>
      </c>
      <c r="G40" s="139">
        <v>0</v>
      </c>
      <c r="H40" s="139">
        <v>11023.273999999998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11023.273999999998</v>
      </c>
    </row>
    <row r="41" spans="1:21" ht="38.25" customHeight="1" x14ac:dyDescent="0.35">
      <c r="A41" s="171">
        <v>26</v>
      </c>
      <c r="B41" s="172" t="s">
        <v>110</v>
      </c>
      <c r="C41" s="139">
        <v>7071.6859999999951</v>
      </c>
      <c r="D41" s="139">
        <v>9.9579999999999984</v>
      </c>
      <c r="E41" s="139">
        <v>9.9579999999999984</v>
      </c>
      <c r="F41" s="139">
        <v>0</v>
      </c>
      <c r="G41" s="139">
        <v>0</v>
      </c>
      <c r="H41" s="139">
        <v>7081.6439999999948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7081.6439999999948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13514.115999999996</v>
      </c>
      <c r="D42" s="139">
        <v>34.902999999999999</v>
      </c>
      <c r="E42" s="139">
        <v>34.902999999999999</v>
      </c>
      <c r="F42" s="139">
        <v>0</v>
      </c>
      <c r="G42" s="139">
        <v>0</v>
      </c>
      <c r="H42" s="139">
        <v>13549.018999999997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13549.018999999997</v>
      </c>
    </row>
    <row r="43" spans="1:21" ht="38.25" customHeight="1" x14ac:dyDescent="0.35">
      <c r="A43" s="171">
        <v>28</v>
      </c>
      <c r="B43" s="172" t="s">
        <v>112</v>
      </c>
      <c r="C43" s="139">
        <v>971.5780000000002</v>
      </c>
      <c r="D43" s="139">
        <v>8.9220000000000006</v>
      </c>
      <c r="E43" s="139">
        <v>8.9220000000000006</v>
      </c>
      <c r="F43" s="139">
        <v>0</v>
      </c>
      <c r="G43" s="139">
        <v>0</v>
      </c>
      <c r="H43" s="139">
        <v>980.50000000000023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980.50000000000023</v>
      </c>
    </row>
    <row r="44" spans="1:21" s="111" customFormat="1" ht="38.25" customHeight="1" x14ac:dyDescent="0.4">
      <c r="A44" s="310" t="s">
        <v>109</v>
      </c>
      <c r="B44" s="310"/>
      <c r="C44" s="141">
        <v>32552.239999999991</v>
      </c>
      <c r="D44" s="141">
        <v>82.197000000000003</v>
      </c>
      <c r="E44" s="141">
        <v>82.197000000000003</v>
      </c>
      <c r="F44" s="141">
        <v>0</v>
      </c>
      <c r="G44" s="141">
        <v>0</v>
      </c>
      <c r="H44" s="141">
        <v>32634.436999999987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32634.436999999987</v>
      </c>
    </row>
    <row r="45" spans="1:21" ht="38.25" customHeight="1" x14ac:dyDescent="0.35">
      <c r="A45" s="171">
        <v>29</v>
      </c>
      <c r="B45" s="172" t="s">
        <v>113</v>
      </c>
      <c r="C45" s="139">
        <v>8048.4421000000011</v>
      </c>
      <c r="D45" s="139">
        <v>7.25</v>
      </c>
      <c r="E45" s="139">
        <v>7.25</v>
      </c>
      <c r="F45" s="139">
        <v>0</v>
      </c>
      <c r="G45" s="139">
        <v>0</v>
      </c>
      <c r="H45" s="139">
        <v>8055.6921000000011</v>
      </c>
      <c r="I45" s="139">
        <v>0.8600000000000001</v>
      </c>
      <c r="J45" s="139">
        <v>0</v>
      </c>
      <c r="K45" s="139">
        <v>0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8070.9821000000011</v>
      </c>
    </row>
    <row r="46" spans="1:21" ht="38.25" customHeight="1" x14ac:dyDescent="0.35">
      <c r="A46" s="171">
        <v>30</v>
      </c>
      <c r="B46" s="172" t="s">
        <v>114</v>
      </c>
      <c r="C46" s="139">
        <v>7667.1250000000009</v>
      </c>
      <c r="D46" s="139">
        <v>5.96</v>
      </c>
      <c r="E46" s="139">
        <v>5.96</v>
      </c>
      <c r="F46" s="139">
        <v>0</v>
      </c>
      <c r="G46" s="139">
        <v>0</v>
      </c>
      <c r="H46" s="139">
        <v>7673.0850000000009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7674.045000000001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8398.43</v>
      </c>
      <c r="D47" s="139">
        <v>7.69</v>
      </c>
      <c r="E47" s="139">
        <v>7.69</v>
      </c>
      <c r="F47" s="139">
        <v>0</v>
      </c>
      <c r="G47" s="139">
        <v>0</v>
      </c>
      <c r="H47" s="139">
        <v>8406.1200000000008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8413.0400000000009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7502.03</v>
      </c>
      <c r="D48" s="139">
        <v>33.848999999999997</v>
      </c>
      <c r="E48" s="139">
        <v>33.848999999999997</v>
      </c>
      <c r="F48" s="139">
        <v>0</v>
      </c>
      <c r="G48" s="139">
        <v>0</v>
      </c>
      <c r="H48" s="139">
        <v>7535.8789999999999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7536.384</v>
      </c>
    </row>
    <row r="49" spans="1:21" s="111" customFormat="1" ht="38.25" customHeight="1" x14ac:dyDescent="0.4">
      <c r="A49" s="310" t="s">
        <v>117</v>
      </c>
      <c r="B49" s="310"/>
      <c r="C49" s="141">
        <v>31616.027099999999</v>
      </c>
      <c r="D49" s="141">
        <v>54.748999999999995</v>
      </c>
      <c r="E49" s="141">
        <v>54.748999999999995</v>
      </c>
      <c r="F49" s="141">
        <v>0</v>
      </c>
      <c r="G49" s="141">
        <v>0</v>
      </c>
      <c r="H49" s="141">
        <v>31670.776100000003</v>
      </c>
      <c r="I49" s="141">
        <v>9.2149999999999999</v>
      </c>
      <c r="J49" s="141">
        <v>0</v>
      </c>
      <c r="K49" s="141">
        <v>0</v>
      </c>
      <c r="L49" s="141">
        <v>0</v>
      </c>
      <c r="M49" s="141">
        <v>0</v>
      </c>
      <c r="N49" s="141">
        <v>9.2149999999999999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31694.451100000006</v>
      </c>
    </row>
    <row r="50" spans="1:21" s="145" customFormat="1" ht="38.25" customHeight="1" x14ac:dyDescent="0.4">
      <c r="A50" s="310" t="s">
        <v>118</v>
      </c>
      <c r="B50" s="310"/>
      <c r="C50" s="141">
        <v>64168.26709999999</v>
      </c>
      <c r="D50" s="141">
        <v>136.946</v>
      </c>
      <c r="E50" s="141">
        <v>136.946</v>
      </c>
      <c r="F50" s="141">
        <v>0</v>
      </c>
      <c r="G50" s="141">
        <v>0</v>
      </c>
      <c r="H50" s="141">
        <v>64305.213099999994</v>
      </c>
      <c r="I50" s="141">
        <v>9.2149999999999999</v>
      </c>
      <c r="J50" s="141">
        <v>0</v>
      </c>
      <c r="K50" s="141">
        <v>0</v>
      </c>
      <c r="L50" s="141">
        <v>0</v>
      </c>
      <c r="M50" s="141">
        <v>0</v>
      </c>
      <c r="N50" s="141">
        <v>9.2149999999999999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64328.888099999996</v>
      </c>
    </row>
    <row r="51" spans="1:21" s="146" customFormat="1" ht="38.25" customHeight="1" x14ac:dyDescent="0.4">
      <c r="A51" s="310" t="s">
        <v>119</v>
      </c>
      <c r="B51" s="310"/>
      <c r="C51" s="141">
        <v>112133.30589999999</v>
      </c>
      <c r="D51" s="141">
        <v>196.47000000000003</v>
      </c>
      <c r="E51" s="141">
        <v>196.47000000000003</v>
      </c>
      <c r="F51" s="141">
        <v>0</v>
      </c>
      <c r="G51" s="141">
        <v>0</v>
      </c>
      <c r="H51" s="141">
        <v>112329.77589999999</v>
      </c>
      <c r="I51" s="141">
        <v>6924.4549999999999</v>
      </c>
      <c r="J51" s="141">
        <v>37.584000000000003</v>
      </c>
      <c r="K51" s="141">
        <v>37.584000000000003</v>
      </c>
      <c r="L51" s="141">
        <v>0</v>
      </c>
      <c r="M51" s="141">
        <v>0</v>
      </c>
      <c r="N51" s="141">
        <v>6962.0390000000007</v>
      </c>
      <c r="O51" s="141">
        <v>924.69699999999989</v>
      </c>
      <c r="P51" s="141">
        <v>7.0000000000000001E-3</v>
      </c>
      <c r="Q51" s="141">
        <v>7.0000000000000001E-3</v>
      </c>
      <c r="R51" s="141">
        <v>0</v>
      </c>
      <c r="S51" s="141">
        <v>0</v>
      </c>
      <c r="T51" s="141">
        <v>924.70399999999995</v>
      </c>
      <c r="U51" s="141">
        <v>120216.5189</v>
      </c>
    </row>
    <row r="52" spans="1:21" s="111" customFormat="1" ht="24" customHeight="1" x14ac:dyDescent="0.4">
      <c r="A52" s="115"/>
      <c r="B52" s="192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</row>
    <row r="53" spans="1:21" s="111" customFormat="1" ht="19.5" customHeight="1" x14ac:dyDescent="0.4">
      <c r="A53" s="115"/>
      <c r="B53" s="115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</row>
    <row r="54" spans="1:21" s="115" customFormat="1" ht="24.75" hidden="1" customHeight="1" x14ac:dyDescent="0.4">
      <c r="B54" s="179"/>
      <c r="C54" s="278" t="s">
        <v>54</v>
      </c>
      <c r="D54" s="278"/>
      <c r="E54" s="278"/>
      <c r="F54" s="278"/>
      <c r="G54" s="278"/>
      <c r="H54" s="118"/>
      <c r="I54" s="179"/>
      <c r="J54" s="179">
        <f>D51+J51+P51-F51-L51-R51</f>
        <v>234.06100000000004</v>
      </c>
      <c r="K54" s="179"/>
      <c r="L54" s="179"/>
      <c r="M54" s="179"/>
      <c r="N54" s="179"/>
      <c r="R54" s="179"/>
      <c r="U54" s="179"/>
    </row>
    <row r="55" spans="1:21" s="115" customFormat="1" ht="30" hidden="1" customHeight="1" x14ac:dyDescent="0.35">
      <c r="B55" s="179"/>
      <c r="C55" s="278" t="s">
        <v>55</v>
      </c>
      <c r="D55" s="278"/>
      <c r="E55" s="278"/>
      <c r="F55" s="278"/>
      <c r="G55" s="278"/>
      <c r="H55" s="119"/>
      <c r="I55" s="179"/>
      <c r="J55" s="179">
        <f>E51+K51+Q51-G51-M51-S51</f>
        <v>234.06100000000004</v>
      </c>
      <c r="K55" s="179"/>
      <c r="L55" s="179"/>
      <c r="M55" s="179"/>
      <c r="N55" s="179"/>
      <c r="R55" s="179"/>
      <c r="T55" s="179"/>
    </row>
    <row r="56" spans="1:21" ht="33" hidden="1" customHeight="1" x14ac:dyDescent="0.5">
      <c r="C56" s="278" t="s">
        <v>56</v>
      </c>
      <c r="D56" s="278"/>
      <c r="E56" s="278"/>
      <c r="F56" s="278"/>
      <c r="G56" s="278"/>
      <c r="H56" s="119"/>
      <c r="I56" s="121"/>
      <c r="J56" s="179">
        <f>H51+N51+T51</f>
        <v>120216.5189</v>
      </c>
      <c r="K56" s="119"/>
      <c r="L56" s="119"/>
      <c r="M56" s="142" t="e">
        <f>#REF!+'April-2021'!J54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79"/>
      <c r="E57" s="179"/>
      <c r="F57" s="179"/>
      <c r="G57" s="179"/>
      <c r="H57" s="119"/>
      <c r="I57" s="121"/>
      <c r="J57" s="179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79"/>
      <c r="E58" s="179"/>
      <c r="F58" s="179"/>
      <c r="G58" s="179"/>
      <c r="H58" s="119"/>
      <c r="I58" s="121"/>
      <c r="J58" s="179"/>
      <c r="K58" s="119"/>
      <c r="L58" s="119"/>
      <c r="M58" s="142" t="e">
        <f>#REF!+'April-2021'!J54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87" t="s">
        <v>57</v>
      </c>
      <c r="C59" s="287"/>
      <c r="D59" s="287"/>
      <c r="E59" s="287"/>
      <c r="F59" s="287"/>
      <c r="G59" s="153"/>
      <c r="H59" s="154"/>
      <c r="I59" s="155"/>
      <c r="J59" s="288"/>
      <c r="K59" s="286"/>
      <c r="L59" s="286"/>
      <c r="M59" s="169" t="e">
        <f>#REF!+'April-2021'!J54</f>
        <v>#REF!</v>
      </c>
      <c r="N59" s="154"/>
      <c r="O59" s="154"/>
      <c r="P59" s="182"/>
      <c r="Q59" s="287" t="s">
        <v>58</v>
      </c>
      <c r="R59" s="287"/>
      <c r="S59" s="287"/>
      <c r="T59" s="287"/>
      <c r="U59" s="287"/>
    </row>
    <row r="60" spans="1:21" s="152" customFormat="1" ht="37.5" hidden="1" customHeight="1" x14ac:dyDescent="0.45">
      <c r="B60" s="287" t="s">
        <v>59</v>
      </c>
      <c r="C60" s="287"/>
      <c r="D60" s="287"/>
      <c r="E60" s="287"/>
      <c r="F60" s="287"/>
      <c r="G60" s="154"/>
      <c r="H60" s="153"/>
      <c r="I60" s="156"/>
      <c r="J60" s="157"/>
      <c r="K60" s="181"/>
      <c r="L60" s="157"/>
      <c r="M60" s="154"/>
      <c r="N60" s="153"/>
      <c r="O60" s="154"/>
      <c r="P60" s="182"/>
      <c r="Q60" s="287" t="s">
        <v>59</v>
      </c>
      <c r="R60" s="287"/>
      <c r="S60" s="287"/>
      <c r="T60" s="287"/>
      <c r="U60" s="287"/>
    </row>
    <row r="61" spans="1:21" s="152" customFormat="1" ht="37.5" hidden="1" customHeight="1" x14ac:dyDescent="0.45">
      <c r="I61" s="158"/>
      <c r="J61" s="286" t="s">
        <v>61</v>
      </c>
      <c r="K61" s="286"/>
      <c r="L61" s="286"/>
      <c r="M61" s="159" t="e">
        <f>#REF!+'April-2021'!J54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#REF!+'April-2021'!J54</f>
        <v>#REF!</v>
      </c>
      <c r="I62" s="158"/>
      <c r="J62" s="286" t="s">
        <v>62</v>
      </c>
      <c r="K62" s="286"/>
      <c r="L62" s="286"/>
      <c r="M62" s="159" t="e">
        <f>#REF!+'April-2021'!J54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40" activePane="bottomLeft" state="frozen"/>
      <selection pane="bottomLeft" activeCell="C67" sqref="C6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134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02" t="s">
        <v>122</v>
      </c>
      <c r="B4" s="305" t="s">
        <v>121</v>
      </c>
      <c r="C4" s="281" t="s">
        <v>131</v>
      </c>
      <c r="D4" s="282"/>
      <c r="E4" s="282"/>
      <c r="F4" s="282"/>
      <c r="G4" s="282"/>
      <c r="H4" s="282"/>
      <c r="I4" s="281" t="s">
        <v>130</v>
      </c>
      <c r="J4" s="282"/>
      <c r="K4" s="282"/>
      <c r="L4" s="282"/>
      <c r="M4" s="282"/>
      <c r="N4" s="282"/>
      <c r="O4" s="281" t="s">
        <v>129</v>
      </c>
      <c r="P4" s="282"/>
      <c r="Q4" s="282"/>
      <c r="R4" s="282"/>
      <c r="S4" s="282"/>
      <c r="T4" s="282"/>
      <c r="U4" s="184"/>
    </row>
    <row r="5" spans="1:21" s="108" customFormat="1" ht="54.75" customHeight="1" x14ac:dyDescent="0.25">
      <c r="A5" s="304"/>
      <c r="B5" s="306"/>
      <c r="C5" s="291" t="s">
        <v>6</v>
      </c>
      <c r="D5" s="289" t="s">
        <v>127</v>
      </c>
      <c r="E5" s="290"/>
      <c r="F5" s="289" t="s">
        <v>126</v>
      </c>
      <c r="G5" s="290"/>
      <c r="H5" s="291" t="s">
        <v>9</v>
      </c>
      <c r="I5" s="291" t="s">
        <v>6</v>
      </c>
      <c r="J5" s="289" t="s">
        <v>127</v>
      </c>
      <c r="K5" s="290"/>
      <c r="L5" s="289" t="s">
        <v>126</v>
      </c>
      <c r="M5" s="290"/>
      <c r="N5" s="291" t="s">
        <v>9</v>
      </c>
      <c r="O5" s="291" t="s">
        <v>6</v>
      </c>
      <c r="P5" s="289" t="s">
        <v>127</v>
      </c>
      <c r="Q5" s="290"/>
      <c r="R5" s="289" t="s">
        <v>126</v>
      </c>
      <c r="S5" s="290"/>
      <c r="T5" s="291" t="s">
        <v>9</v>
      </c>
      <c r="U5" s="305" t="s">
        <v>128</v>
      </c>
    </row>
    <row r="6" spans="1:21" s="108" customFormat="1" ht="38.25" customHeight="1" x14ac:dyDescent="0.25">
      <c r="A6" s="304"/>
      <c r="B6" s="307"/>
      <c r="C6" s="292"/>
      <c r="D6" s="172" t="s">
        <v>124</v>
      </c>
      <c r="E6" s="172" t="s">
        <v>125</v>
      </c>
      <c r="F6" s="172" t="s">
        <v>124</v>
      </c>
      <c r="G6" s="172" t="s">
        <v>125</v>
      </c>
      <c r="H6" s="292"/>
      <c r="I6" s="292"/>
      <c r="J6" s="172" t="s">
        <v>124</v>
      </c>
      <c r="K6" s="172" t="s">
        <v>125</v>
      </c>
      <c r="L6" s="172" t="s">
        <v>124</v>
      </c>
      <c r="M6" s="172" t="s">
        <v>125</v>
      </c>
      <c r="N6" s="292"/>
      <c r="O6" s="292"/>
      <c r="P6" s="172" t="s">
        <v>124</v>
      </c>
      <c r="Q6" s="172" t="s">
        <v>125</v>
      </c>
      <c r="R6" s="172" t="s">
        <v>124</v>
      </c>
      <c r="S6" s="172" t="s">
        <v>125</v>
      </c>
      <c r="T6" s="292"/>
      <c r="U6" s="307"/>
    </row>
    <row r="7" spans="1:21" ht="38.25" customHeight="1" x14ac:dyDescent="0.35">
      <c r="A7" s="171">
        <v>1</v>
      </c>
      <c r="B7" s="172" t="s">
        <v>78</v>
      </c>
      <c r="C7" s="139">
        <v>459.88999999999987</v>
      </c>
      <c r="D7" s="139">
        <v>0</v>
      </c>
      <c r="E7" s="139">
        <v>0</v>
      </c>
      <c r="F7" s="139">
        <v>4.4800000000000004</v>
      </c>
      <c r="G7" s="139">
        <v>4.4800000000000004</v>
      </c>
      <c r="H7" s="139">
        <v>455.40999999999985</v>
      </c>
      <c r="I7" s="139">
        <v>554.84399999999982</v>
      </c>
      <c r="J7" s="139">
        <v>3.8639999999999999</v>
      </c>
      <c r="K7" s="139">
        <v>7.6530000000000005</v>
      </c>
      <c r="L7" s="139">
        <v>0</v>
      </c>
      <c r="M7" s="139">
        <v>0</v>
      </c>
      <c r="N7" s="139">
        <v>558.70799999999986</v>
      </c>
      <c r="O7" s="139">
        <v>70.100000000000009</v>
      </c>
      <c r="P7" s="139">
        <v>0</v>
      </c>
      <c r="Q7" s="139">
        <v>0</v>
      </c>
      <c r="R7" s="139">
        <v>1.88</v>
      </c>
      <c r="S7" s="139">
        <v>1.88</v>
      </c>
      <c r="T7" s="139">
        <v>68.220000000000013</v>
      </c>
      <c r="U7" s="139">
        <v>1082.3379999999997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80.075000000000031</v>
      </c>
      <c r="J8" s="139">
        <v>0.05</v>
      </c>
      <c r="K8" s="139">
        <v>1.4549999999999998</v>
      </c>
      <c r="L8" s="139">
        <v>0</v>
      </c>
      <c r="M8" s="139">
        <v>0</v>
      </c>
      <c r="N8" s="139">
        <v>80.125000000000028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85.67000000000003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538.00800000000004</v>
      </c>
      <c r="J9" s="139">
        <v>0</v>
      </c>
      <c r="K9" s="139">
        <v>2.27</v>
      </c>
      <c r="L9" s="139">
        <v>0</v>
      </c>
      <c r="M9" s="139">
        <v>0</v>
      </c>
      <c r="N9" s="139">
        <v>538.00800000000004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891.57800000000009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480.49499999999995</v>
      </c>
      <c r="J10" s="139">
        <v>0.8</v>
      </c>
      <c r="K10" s="139">
        <v>0.9</v>
      </c>
      <c r="L10" s="139">
        <v>0</v>
      </c>
      <c r="M10" s="139">
        <v>0</v>
      </c>
      <c r="N10" s="139">
        <v>481.29499999999996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489.45499999999998</v>
      </c>
    </row>
    <row r="11" spans="1:21" s="111" customFormat="1" ht="38.25" customHeight="1" x14ac:dyDescent="0.4">
      <c r="A11" s="308" t="s">
        <v>82</v>
      </c>
      <c r="B11" s="309"/>
      <c r="C11" s="141">
        <v>781.34499999999991</v>
      </c>
      <c r="D11" s="141">
        <v>0</v>
      </c>
      <c r="E11" s="141">
        <v>0</v>
      </c>
      <c r="F11" s="141">
        <v>4.4800000000000004</v>
      </c>
      <c r="G11" s="141">
        <v>4.4800000000000004</v>
      </c>
      <c r="H11" s="141">
        <v>776.8649999999999</v>
      </c>
      <c r="I11" s="141">
        <v>1653.4219999999998</v>
      </c>
      <c r="J11" s="141">
        <v>4.7139999999999995</v>
      </c>
      <c r="K11" s="141">
        <v>12.278</v>
      </c>
      <c r="L11" s="141">
        <v>0</v>
      </c>
      <c r="M11" s="141">
        <v>0</v>
      </c>
      <c r="N11" s="141">
        <v>1658.136</v>
      </c>
      <c r="O11" s="141">
        <v>115.92</v>
      </c>
      <c r="P11" s="141">
        <v>0</v>
      </c>
      <c r="Q11" s="141">
        <v>0</v>
      </c>
      <c r="R11" s="141">
        <v>1.88</v>
      </c>
      <c r="S11" s="141">
        <v>1.88</v>
      </c>
      <c r="T11" s="141">
        <v>114.04</v>
      </c>
      <c r="U11" s="141">
        <v>2549.0409999999997</v>
      </c>
    </row>
    <row r="12" spans="1:21" ht="38.25" customHeight="1" x14ac:dyDescent="0.35">
      <c r="A12" s="171">
        <v>4</v>
      </c>
      <c r="B12" s="172" t="s">
        <v>83</v>
      </c>
      <c r="C12" s="139">
        <v>558.03999999999962</v>
      </c>
      <c r="D12" s="139">
        <v>0</v>
      </c>
      <c r="E12" s="139">
        <v>0</v>
      </c>
      <c r="F12" s="139">
        <v>23.09</v>
      </c>
      <c r="G12" s="139">
        <v>23.09</v>
      </c>
      <c r="H12" s="139">
        <v>534.94999999999959</v>
      </c>
      <c r="I12" s="139">
        <v>723.07499999999982</v>
      </c>
      <c r="J12" s="139">
        <v>59.46</v>
      </c>
      <c r="K12" s="139">
        <v>60.494999999999997</v>
      </c>
      <c r="L12" s="139">
        <v>0</v>
      </c>
      <c r="M12" s="139">
        <v>0</v>
      </c>
      <c r="N12" s="139">
        <v>782.53499999999985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1360.1649999999995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521.44200000000023</v>
      </c>
      <c r="J13" s="139">
        <v>0.13</v>
      </c>
      <c r="K13" s="139">
        <v>0.67200000000000004</v>
      </c>
      <c r="L13" s="139">
        <v>0</v>
      </c>
      <c r="M13" s="139">
        <v>0</v>
      </c>
      <c r="N13" s="139">
        <v>521.57200000000023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858.68200000000036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</v>
      </c>
      <c r="E14" s="139">
        <v>0</v>
      </c>
      <c r="F14" s="139">
        <v>0</v>
      </c>
      <c r="G14" s="139">
        <v>0</v>
      </c>
      <c r="H14" s="139">
        <v>1277.7599999999993</v>
      </c>
      <c r="I14" s="139">
        <v>848.47800000000018</v>
      </c>
      <c r="J14" s="139">
        <v>0.19</v>
      </c>
      <c r="K14" s="139">
        <v>20.268000000000001</v>
      </c>
      <c r="L14" s="139">
        <v>0</v>
      </c>
      <c r="M14" s="139">
        <v>0</v>
      </c>
      <c r="N14" s="139">
        <v>848.66800000000023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2184.1779999999994</v>
      </c>
    </row>
    <row r="15" spans="1:21" s="111" customFormat="1" ht="38.25" customHeight="1" x14ac:dyDescent="0.4">
      <c r="A15" s="308" t="s">
        <v>86</v>
      </c>
      <c r="B15" s="309"/>
      <c r="C15" s="141">
        <v>2151.4199999999992</v>
      </c>
      <c r="D15" s="141">
        <v>0</v>
      </c>
      <c r="E15" s="141">
        <v>0</v>
      </c>
      <c r="F15" s="141">
        <v>23.09</v>
      </c>
      <c r="G15" s="141">
        <v>23.09</v>
      </c>
      <c r="H15" s="141">
        <v>2128.329999999999</v>
      </c>
      <c r="I15" s="141">
        <v>2092.9950000000003</v>
      </c>
      <c r="J15" s="141">
        <v>59.78</v>
      </c>
      <c r="K15" s="141">
        <v>81.435000000000002</v>
      </c>
      <c r="L15" s="141">
        <v>0</v>
      </c>
      <c r="M15" s="141">
        <v>0</v>
      </c>
      <c r="N15" s="141">
        <v>2152.7750000000001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4403.0249999999996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1024.9740000000004</v>
      </c>
      <c r="D16" s="139">
        <v>0</v>
      </c>
      <c r="E16" s="139">
        <v>0.18</v>
      </c>
      <c r="F16" s="139">
        <v>0</v>
      </c>
      <c r="G16" s="139">
        <v>0</v>
      </c>
      <c r="H16" s="139">
        <v>1024.9740000000004</v>
      </c>
      <c r="I16" s="139">
        <v>111.19599999999997</v>
      </c>
      <c r="J16" s="139">
        <v>0.39</v>
      </c>
      <c r="K16" s="139">
        <v>0.81499999999999995</v>
      </c>
      <c r="L16" s="139">
        <v>0</v>
      </c>
      <c r="M16" s="139">
        <v>0</v>
      </c>
      <c r="N16" s="139">
        <v>111.58599999999997</v>
      </c>
      <c r="O16" s="139">
        <v>245.90200000000002</v>
      </c>
      <c r="P16" s="139">
        <v>0</v>
      </c>
      <c r="Q16" s="139">
        <v>0</v>
      </c>
      <c r="R16" s="139">
        <v>0</v>
      </c>
      <c r="S16" s="139">
        <v>0</v>
      </c>
      <c r="T16" s="139">
        <v>245.90200000000002</v>
      </c>
      <c r="U16" s="139">
        <v>1382.4620000000004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</v>
      </c>
      <c r="F17" s="174">
        <v>0</v>
      </c>
      <c r="G17" s="139">
        <v>0</v>
      </c>
      <c r="H17" s="139">
        <v>183.82599999999994</v>
      </c>
      <c r="I17" s="139">
        <v>341.11500000000012</v>
      </c>
      <c r="J17" s="174">
        <v>0.375</v>
      </c>
      <c r="K17" s="139">
        <v>0.75</v>
      </c>
      <c r="L17" s="174">
        <v>0</v>
      </c>
      <c r="M17" s="139">
        <v>0</v>
      </c>
      <c r="N17" s="139">
        <v>341.49000000000012</v>
      </c>
      <c r="O17" s="139">
        <v>64.375</v>
      </c>
      <c r="P17" s="174">
        <v>0</v>
      </c>
      <c r="Q17" s="139">
        <v>0</v>
      </c>
      <c r="R17" s="174">
        <v>0</v>
      </c>
      <c r="S17" s="139">
        <v>0</v>
      </c>
      <c r="T17" s="139">
        <v>64.375</v>
      </c>
      <c r="U17" s="139">
        <v>589.69100000000003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</v>
      </c>
      <c r="E18" s="139">
        <v>0</v>
      </c>
      <c r="F18" s="139">
        <v>0</v>
      </c>
      <c r="G18" s="139">
        <v>0</v>
      </c>
      <c r="H18" s="139">
        <v>210.55600000000007</v>
      </c>
      <c r="I18" s="139">
        <v>347.22199999999998</v>
      </c>
      <c r="J18" s="139">
        <v>0.505</v>
      </c>
      <c r="K18" s="139">
        <v>1.52</v>
      </c>
      <c r="L18" s="139">
        <v>0</v>
      </c>
      <c r="M18" s="139">
        <v>0</v>
      </c>
      <c r="N18" s="139">
        <v>347.72699999999998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566.65800000000002</v>
      </c>
    </row>
    <row r="19" spans="1:21" s="111" customFormat="1" ht="38.25" customHeight="1" x14ac:dyDescent="0.4">
      <c r="A19" s="308" t="s">
        <v>89</v>
      </c>
      <c r="B19" s="309"/>
      <c r="C19" s="141">
        <v>1419.3560000000004</v>
      </c>
      <c r="D19" s="141">
        <v>0</v>
      </c>
      <c r="E19" s="141">
        <v>0.18</v>
      </c>
      <c r="F19" s="141">
        <v>0</v>
      </c>
      <c r="G19" s="141">
        <v>0</v>
      </c>
      <c r="H19" s="141">
        <v>1419.3560000000004</v>
      </c>
      <c r="I19" s="141">
        <v>799.53300000000013</v>
      </c>
      <c r="J19" s="141">
        <v>1.27</v>
      </c>
      <c r="K19" s="141">
        <v>3.085</v>
      </c>
      <c r="L19" s="141">
        <v>0</v>
      </c>
      <c r="M19" s="141">
        <v>0</v>
      </c>
      <c r="N19" s="141">
        <v>800.80300000000011</v>
      </c>
      <c r="O19" s="141">
        <v>318.65200000000004</v>
      </c>
      <c r="P19" s="141">
        <v>0</v>
      </c>
      <c r="Q19" s="141">
        <v>0</v>
      </c>
      <c r="R19" s="141">
        <v>0</v>
      </c>
      <c r="S19" s="141">
        <v>0</v>
      </c>
      <c r="T19" s="141">
        <v>318.65200000000004</v>
      </c>
      <c r="U19" s="141">
        <v>2538.8110000000006</v>
      </c>
    </row>
    <row r="20" spans="1:21" ht="38.25" customHeight="1" x14ac:dyDescent="0.35">
      <c r="A20" s="171">
        <v>8</v>
      </c>
      <c r="B20" s="172" t="s">
        <v>91</v>
      </c>
      <c r="C20" s="139">
        <v>639.82999999999993</v>
      </c>
      <c r="D20" s="139">
        <v>0.12</v>
      </c>
      <c r="E20" s="139">
        <v>0.3</v>
      </c>
      <c r="F20" s="139">
        <v>0</v>
      </c>
      <c r="G20" s="139">
        <v>0</v>
      </c>
      <c r="H20" s="139">
        <v>639.94999999999993</v>
      </c>
      <c r="I20" s="139">
        <v>390.71000000000004</v>
      </c>
      <c r="J20" s="139">
        <v>0.48499999999999999</v>
      </c>
      <c r="K20" s="139">
        <v>1.1850000000000001</v>
      </c>
      <c r="L20" s="139">
        <v>0</v>
      </c>
      <c r="M20" s="139">
        <v>0</v>
      </c>
      <c r="N20" s="139">
        <v>391.19500000000005</v>
      </c>
      <c r="O20" s="139">
        <v>40.220000000000006</v>
      </c>
      <c r="P20" s="139">
        <v>0</v>
      </c>
      <c r="Q20" s="139">
        <v>0</v>
      </c>
      <c r="R20" s="139">
        <v>0</v>
      </c>
      <c r="S20" s="139">
        <v>0</v>
      </c>
      <c r="T20" s="139">
        <v>40.220000000000006</v>
      </c>
      <c r="U20" s="139">
        <v>1071.365</v>
      </c>
    </row>
    <row r="21" spans="1:21" ht="38.25" customHeight="1" x14ac:dyDescent="0.35">
      <c r="A21" s="171">
        <v>9</v>
      </c>
      <c r="B21" s="172" t="s">
        <v>90</v>
      </c>
      <c r="C21" s="139">
        <v>18.919999999999995</v>
      </c>
      <c r="D21" s="139">
        <v>0</v>
      </c>
      <c r="E21" s="139">
        <v>0</v>
      </c>
      <c r="F21" s="139">
        <v>8.36</v>
      </c>
      <c r="G21" s="139">
        <v>8.36</v>
      </c>
      <c r="H21" s="139">
        <v>10.559999999999995</v>
      </c>
      <c r="I21" s="139">
        <v>389.07299999999998</v>
      </c>
      <c r="J21" s="139">
        <v>9.8000000000000007</v>
      </c>
      <c r="K21" s="139">
        <v>10.370000000000001</v>
      </c>
      <c r="L21" s="139">
        <v>0</v>
      </c>
      <c r="M21" s="139">
        <v>0</v>
      </c>
      <c r="N21" s="139">
        <v>398.87299999999999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428.99299999999999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</v>
      </c>
      <c r="E22" s="139">
        <v>0</v>
      </c>
      <c r="F22" s="139">
        <v>0</v>
      </c>
      <c r="G22" s="139">
        <v>0</v>
      </c>
      <c r="H22" s="139">
        <v>180.71000000000004</v>
      </c>
      <c r="I22" s="139">
        <v>353.51499999999999</v>
      </c>
      <c r="J22" s="139">
        <v>3.54</v>
      </c>
      <c r="K22" s="139">
        <v>3.59</v>
      </c>
      <c r="L22" s="139">
        <v>0</v>
      </c>
      <c r="M22" s="139">
        <v>0</v>
      </c>
      <c r="N22" s="139">
        <v>357.05500000000001</v>
      </c>
      <c r="O22" s="139">
        <v>13.350000000000001</v>
      </c>
      <c r="P22" s="139">
        <v>0</v>
      </c>
      <c r="Q22" s="139">
        <v>0</v>
      </c>
      <c r="R22" s="139">
        <v>0</v>
      </c>
      <c r="S22" s="139">
        <v>0</v>
      </c>
      <c r="T22" s="139">
        <v>13.350000000000001</v>
      </c>
      <c r="U22" s="139">
        <v>551.11500000000012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422.29499999999985</v>
      </c>
      <c r="D23" s="139">
        <v>6</v>
      </c>
      <c r="E23" s="139">
        <v>6</v>
      </c>
      <c r="F23" s="139">
        <v>0</v>
      </c>
      <c r="G23" s="139">
        <v>0</v>
      </c>
      <c r="H23" s="139">
        <v>428.29499999999985</v>
      </c>
      <c r="I23" s="139">
        <v>78.069999999999993</v>
      </c>
      <c r="J23" s="139">
        <v>0</v>
      </c>
      <c r="K23" s="139">
        <v>1.27</v>
      </c>
      <c r="L23" s="139">
        <v>0</v>
      </c>
      <c r="M23" s="139">
        <v>0</v>
      </c>
      <c r="N23" s="139">
        <v>78.069999999999993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528.86499999999978</v>
      </c>
    </row>
    <row r="24" spans="1:21" s="111" customFormat="1" ht="38.25" customHeight="1" x14ac:dyDescent="0.4">
      <c r="A24" s="310" t="s">
        <v>94</v>
      </c>
      <c r="B24" s="310"/>
      <c r="C24" s="141">
        <v>1261.7549999999997</v>
      </c>
      <c r="D24" s="141">
        <v>6.12</v>
      </c>
      <c r="E24" s="141">
        <v>6.3</v>
      </c>
      <c r="F24" s="141">
        <v>8.36</v>
      </c>
      <c r="G24" s="141">
        <v>8.36</v>
      </c>
      <c r="H24" s="141">
        <v>1259.5149999999999</v>
      </c>
      <c r="I24" s="141">
        <v>1211.3679999999999</v>
      </c>
      <c r="J24" s="141">
        <v>13.824999999999999</v>
      </c>
      <c r="K24" s="141">
        <v>16.415000000000003</v>
      </c>
      <c r="L24" s="141">
        <v>0</v>
      </c>
      <c r="M24" s="141">
        <v>0</v>
      </c>
      <c r="N24" s="141">
        <v>1225.193</v>
      </c>
      <c r="O24" s="141">
        <v>95.63</v>
      </c>
      <c r="P24" s="141">
        <v>0</v>
      </c>
      <c r="Q24" s="141">
        <v>0</v>
      </c>
      <c r="R24" s="141">
        <v>0</v>
      </c>
      <c r="S24" s="141">
        <v>0</v>
      </c>
      <c r="T24" s="141">
        <v>95.63</v>
      </c>
      <c r="U24" s="141">
        <v>2580.3379999999997</v>
      </c>
    </row>
    <row r="25" spans="1:21" s="145" customFormat="1" ht="38.25" customHeight="1" x14ac:dyDescent="0.4">
      <c r="A25" s="311" t="s">
        <v>95</v>
      </c>
      <c r="B25" s="312"/>
      <c r="C25" s="141">
        <v>5613.8759999999993</v>
      </c>
      <c r="D25" s="141">
        <v>6.12</v>
      </c>
      <c r="E25" s="141">
        <v>6.4799999999999995</v>
      </c>
      <c r="F25" s="141">
        <v>35.93</v>
      </c>
      <c r="G25" s="141">
        <v>35.93</v>
      </c>
      <c r="H25" s="141">
        <v>5584.0659999999989</v>
      </c>
      <c r="I25" s="141">
        <v>5757.3180000000002</v>
      </c>
      <c r="J25" s="141">
        <v>79.588999999999999</v>
      </c>
      <c r="K25" s="141">
        <v>113.21300000000001</v>
      </c>
      <c r="L25" s="141">
        <v>0</v>
      </c>
      <c r="M25" s="141">
        <v>0</v>
      </c>
      <c r="N25" s="141">
        <v>5836.9070000000011</v>
      </c>
      <c r="O25" s="141">
        <v>652.12199999999996</v>
      </c>
      <c r="P25" s="141">
        <v>0</v>
      </c>
      <c r="Q25" s="141">
        <v>0</v>
      </c>
      <c r="R25" s="141">
        <v>1.88</v>
      </c>
      <c r="S25" s="141">
        <v>1.88</v>
      </c>
      <c r="T25" s="141">
        <v>650.24199999999996</v>
      </c>
      <c r="U25" s="141">
        <v>12071.214999999998</v>
      </c>
    </row>
    <row r="26" spans="1:21" ht="38.25" customHeight="1" x14ac:dyDescent="0.35">
      <c r="A26" s="171">
        <v>15</v>
      </c>
      <c r="B26" s="172" t="s">
        <v>96</v>
      </c>
      <c r="C26" s="139">
        <v>7415.8259999999991</v>
      </c>
      <c r="D26" s="139">
        <v>1.6259999999999999</v>
      </c>
      <c r="E26" s="139">
        <v>16.805</v>
      </c>
      <c r="F26" s="139">
        <v>0</v>
      </c>
      <c r="G26" s="139">
        <v>0</v>
      </c>
      <c r="H26" s="139">
        <v>7417.4519999999993</v>
      </c>
      <c r="I26" s="139">
        <v>59.050000000000004</v>
      </c>
      <c r="J26" s="139">
        <v>0</v>
      </c>
      <c r="K26" s="139">
        <v>0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0</v>
      </c>
      <c r="Q26" s="139">
        <v>0</v>
      </c>
      <c r="R26" s="139">
        <v>0</v>
      </c>
      <c r="S26" s="139">
        <v>0</v>
      </c>
      <c r="T26" s="139">
        <v>1.02</v>
      </c>
      <c r="U26" s="139">
        <v>7477.5219999999999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5475.7350000000015</v>
      </c>
      <c r="D27" s="139">
        <v>6.58</v>
      </c>
      <c r="E27" s="139">
        <v>13.815</v>
      </c>
      <c r="F27" s="139">
        <v>0</v>
      </c>
      <c r="G27" s="139">
        <v>0</v>
      </c>
      <c r="H27" s="139">
        <v>5482.3150000000014</v>
      </c>
      <c r="I27" s="139">
        <v>557.3180000000001</v>
      </c>
      <c r="J27" s="139">
        <v>1.24</v>
      </c>
      <c r="K27" s="139">
        <v>2.5599999999999996</v>
      </c>
      <c r="L27" s="139">
        <v>0</v>
      </c>
      <c r="M27" s="139">
        <v>0</v>
      </c>
      <c r="N27" s="139">
        <v>558.55800000000011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6057.7930000000015</v>
      </c>
    </row>
    <row r="28" spans="1:21" s="111" customFormat="1" ht="38.25" customHeight="1" x14ac:dyDescent="0.4">
      <c r="A28" s="310" t="s">
        <v>98</v>
      </c>
      <c r="B28" s="310"/>
      <c r="C28" s="141">
        <v>12891.561000000002</v>
      </c>
      <c r="D28" s="141">
        <v>8.2059999999999995</v>
      </c>
      <c r="E28" s="141">
        <v>30.619999999999997</v>
      </c>
      <c r="F28" s="141">
        <v>0</v>
      </c>
      <c r="G28" s="141">
        <v>0</v>
      </c>
      <c r="H28" s="141">
        <v>12899.767</v>
      </c>
      <c r="I28" s="141">
        <v>616.36800000000005</v>
      </c>
      <c r="J28" s="141">
        <v>1.24</v>
      </c>
      <c r="K28" s="141">
        <v>2.5599999999999996</v>
      </c>
      <c r="L28" s="141">
        <v>0</v>
      </c>
      <c r="M28" s="141">
        <v>0</v>
      </c>
      <c r="N28" s="141">
        <v>617.60800000000006</v>
      </c>
      <c r="O28" s="141">
        <v>17.940000000000001</v>
      </c>
      <c r="P28" s="141">
        <v>0</v>
      </c>
      <c r="Q28" s="141">
        <v>0</v>
      </c>
      <c r="R28" s="141">
        <v>0</v>
      </c>
      <c r="S28" s="141">
        <v>0</v>
      </c>
      <c r="T28" s="141">
        <v>17.940000000000001</v>
      </c>
      <c r="U28" s="141">
        <v>13535.315000000002</v>
      </c>
    </row>
    <row r="29" spans="1:21" ht="38.25" customHeight="1" x14ac:dyDescent="0.35">
      <c r="A29" s="171">
        <v>17</v>
      </c>
      <c r="B29" s="172" t="s">
        <v>99</v>
      </c>
      <c r="C29" s="139">
        <v>4390.4980000000005</v>
      </c>
      <c r="D29" s="139">
        <v>2.0099999999999998</v>
      </c>
      <c r="E29" s="139">
        <v>9.4310000000000009</v>
      </c>
      <c r="F29" s="139">
        <v>0</v>
      </c>
      <c r="G29" s="139">
        <v>0</v>
      </c>
      <c r="H29" s="139">
        <v>4392.5080000000007</v>
      </c>
      <c r="I29" s="139">
        <v>96.66</v>
      </c>
      <c r="J29" s="139">
        <v>0</v>
      </c>
      <c r="K29" s="139">
        <v>0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4546.8880000000008</v>
      </c>
    </row>
    <row r="30" spans="1:21" ht="38.25" customHeight="1" x14ac:dyDescent="0.35">
      <c r="A30" s="171">
        <v>18</v>
      </c>
      <c r="B30" s="172" t="s">
        <v>100</v>
      </c>
      <c r="C30" s="139">
        <v>403.63099999999991</v>
      </c>
      <c r="D30" s="139">
        <v>0.23</v>
      </c>
      <c r="E30" s="139">
        <v>0.94899999999999995</v>
      </c>
      <c r="F30" s="139">
        <v>0</v>
      </c>
      <c r="G30" s="139">
        <v>0</v>
      </c>
      <c r="H30" s="139">
        <v>403.86099999999993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425.40799999999996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4227.491</v>
      </c>
      <c r="D31" s="139">
        <v>1.93</v>
      </c>
      <c r="E31" s="139">
        <v>5.87</v>
      </c>
      <c r="F31" s="139">
        <v>0</v>
      </c>
      <c r="G31" s="139">
        <v>0</v>
      </c>
      <c r="H31" s="139">
        <v>4229.4210000000003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4488.3610000000008</v>
      </c>
    </row>
    <row r="32" spans="1:21" ht="38.25" customHeight="1" x14ac:dyDescent="0.35">
      <c r="A32" s="171">
        <v>20</v>
      </c>
      <c r="B32" s="172" t="s">
        <v>102</v>
      </c>
      <c r="C32" s="139">
        <v>2580.9857999999999</v>
      </c>
      <c r="D32" s="139">
        <v>1.9</v>
      </c>
      <c r="E32" s="139">
        <v>5.57</v>
      </c>
      <c r="F32" s="139">
        <v>0</v>
      </c>
      <c r="G32" s="139">
        <v>0</v>
      </c>
      <c r="H32" s="139">
        <v>2582.8858</v>
      </c>
      <c r="I32" s="139">
        <v>184.42100000000005</v>
      </c>
      <c r="J32" s="139">
        <v>0.46500000000000002</v>
      </c>
      <c r="K32" s="139">
        <v>2.8249999999999997</v>
      </c>
      <c r="L32" s="139">
        <v>0</v>
      </c>
      <c r="M32" s="139">
        <v>0</v>
      </c>
      <c r="N32" s="139">
        <v>184.88600000000005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2788.5637999999999</v>
      </c>
    </row>
    <row r="33" spans="1:21" s="111" customFormat="1" ht="38.25" customHeight="1" x14ac:dyDescent="0.4">
      <c r="A33" s="310" t="s">
        <v>99</v>
      </c>
      <c r="B33" s="310"/>
      <c r="C33" s="141">
        <v>11602.605800000001</v>
      </c>
      <c r="D33" s="141">
        <v>6.07</v>
      </c>
      <c r="E33" s="141">
        <v>21.82</v>
      </c>
      <c r="F33" s="141">
        <v>0</v>
      </c>
      <c r="G33" s="141">
        <v>0</v>
      </c>
      <c r="H33" s="141">
        <v>11608.675800000001</v>
      </c>
      <c r="I33" s="141">
        <v>403.16800000000006</v>
      </c>
      <c r="J33" s="141">
        <v>0.46500000000000002</v>
      </c>
      <c r="K33" s="141">
        <v>3.1049999999999995</v>
      </c>
      <c r="L33" s="141">
        <v>0</v>
      </c>
      <c r="M33" s="141">
        <v>0</v>
      </c>
      <c r="N33" s="141">
        <v>403.63300000000004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12249.220800000003</v>
      </c>
    </row>
    <row r="34" spans="1:21" ht="38.25" customHeight="1" x14ac:dyDescent="0.35">
      <c r="A34" s="171">
        <v>21</v>
      </c>
      <c r="B34" s="172" t="s">
        <v>103</v>
      </c>
      <c r="C34" s="139">
        <v>4373.1900000000005</v>
      </c>
      <c r="D34" s="139">
        <v>0.89</v>
      </c>
      <c r="E34" s="139">
        <v>1.79</v>
      </c>
      <c r="F34" s="139">
        <v>0</v>
      </c>
      <c r="G34" s="139">
        <v>0</v>
      </c>
      <c r="H34" s="139">
        <v>4374.0800000000008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4383.4800000000005</v>
      </c>
    </row>
    <row r="35" spans="1:21" ht="38.25" customHeight="1" x14ac:dyDescent="0.35">
      <c r="A35" s="171">
        <v>22</v>
      </c>
      <c r="B35" s="172" t="s">
        <v>104</v>
      </c>
      <c r="C35" s="139">
        <v>5898.1399999999985</v>
      </c>
      <c r="D35" s="139">
        <v>3.68</v>
      </c>
      <c r="E35" s="139">
        <v>15.2</v>
      </c>
      <c r="F35" s="139">
        <v>0</v>
      </c>
      <c r="G35" s="139">
        <v>0</v>
      </c>
      <c r="H35" s="139">
        <v>5901.8199999999988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5905.8499999999985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2935.1699999999996</v>
      </c>
      <c r="D36" s="139">
        <v>15.25</v>
      </c>
      <c r="E36" s="139">
        <v>15.25</v>
      </c>
      <c r="F36" s="139">
        <v>0</v>
      </c>
      <c r="G36" s="139">
        <v>0</v>
      </c>
      <c r="H36" s="139">
        <v>2950.4199999999996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3108.2699999999995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4710.0199999999986</v>
      </c>
      <c r="D37" s="139">
        <v>7.82</v>
      </c>
      <c r="E37" s="139">
        <v>16.399999999999999</v>
      </c>
      <c r="F37" s="139">
        <v>0</v>
      </c>
      <c r="G37" s="139">
        <v>0</v>
      </c>
      <c r="H37" s="139">
        <v>4717.8399999999983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4725.7999999999984</v>
      </c>
    </row>
    <row r="38" spans="1:21" s="111" customFormat="1" ht="38.25" customHeight="1" x14ac:dyDescent="0.4">
      <c r="A38" s="310" t="s">
        <v>107</v>
      </c>
      <c r="B38" s="310"/>
      <c r="C38" s="141">
        <v>17916.519999999997</v>
      </c>
      <c r="D38" s="141">
        <v>27.64</v>
      </c>
      <c r="E38" s="141">
        <v>48.639999999999993</v>
      </c>
      <c r="F38" s="141">
        <v>0</v>
      </c>
      <c r="G38" s="141">
        <v>0</v>
      </c>
      <c r="H38" s="141">
        <v>17944.159999999996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18123.399999999998</v>
      </c>
    </row>
    <row r="39" spans="1:21" s="145" customFormat="1" ht="38.25" customHeight="1" x14ac:dyDescent="0.4">
      <c r="A39" s="310" t="s">
        <v>108</v>
      </c>
      <c r="B39" s="310"/>
      <c r="C39" s="141">
        <v>42410.686799999996</v>
      </c>
      <c r="D39" s="141">
        <v>41.915999999999997</v>
      </c>
      <c r="E39" s="141">
        <v>101.07999999999998</v>
      </c>
      <c r="F39" s="141">
        <v>0</v>
      </c>
      <c r="G39" s="141">
        <v>0</v>
      </c>
      <c r="H39" s="141">
        <v>42452.602799999993</v>
      </c>
      <c r="I39" s="141">
        <v>1195.5060000000003</v>
      </c>
      <c r="J39" s="141">
        <v>1.7050000000000001</v>
      </c>
      <c r="K39" s="141">
        <v>5.6649999999999991</v>
      </c>
      <c r="L39" s="141">
        <v>0</v>
      </c>
      <c r="M39" s="141">
        <v>0</v>
      </c>
      <c r="N39" s="141">
        <v>1197.2110000000002</v>
      </c>
      <c r="O39" s="141">
        <v>258.12200000000001</v>
      </c>
      <c r="P39" s="141">
        <v>0</v>
      </c>
      <c r="Q39" s="141">
        <v>7.0000000000000001E-3</v>
      </c>
      <c r="R39" s="141">
        <v>0</v>
      </c>
      <c r="S39" s="141">
        <v>0</v>
      </c>
      <c r="T39" s="141">
        <v>258.12200000000001</v>
      </c>
      <c r="U39" s="141">
        <v>43907.935800000007</v>
      </c>
    </row>
    <row r="40" spans="1:21" ht="38.25" customHeight="1" x14ac:dyDescent="0.35">
      <c r="A40" s="171">
        <v>25</v>
      </c>
      <c r="B40" s="172" t="s">
        <v>109</v>
      </c>
      <c r="C40" s="139">
        <v>11023.273999999998</v>
      </c>
      <c r="D40" s="139">
        <v>20.03</v>
      </c>
      <c r="E40" s="139">
        <v>48.444000000000003</v>
      </c>
      <c r="F40" s="139">
        <v>0</v>
      </c>
      <c r="G40" s="139">
        <v>0</v>
      </c>
      <c r="H40" s="139">
        <v>11043.303999999998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11043.303999999998</v>
      </c>
    </row>
    <row r="41" spans="1:21" ht="38.25" customHeight="1" x14ac:dyDescent="0.35">
      <c r="A41" s="171">
        <v>26</v>
      </c>
      <c r="B41" s="172" t="s">
        <v>110</v>
      </c>
      <c r="C41" s="139">
        <v>7081.6439999999948</v>
      </c>
      <c r="D41" s="139">
        <v>3.99</v>
      </c>
      <c r="E41" s="139">
        <v>13.947999999999999</v>
      </c>
      <c r="F41" s="139">
        <v>0</v>
      </c>
      <c r="G41" s="139">
        <v>0</v>
      </c>
      <c r="H41" s="139">
        <v>7085.6339999999946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7085.6339999999946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13549.018999999997</v>
      </c>
      <c r="D42" s="139">
        <v>21.85</v>
      </c>
      <c r="E42" s="139">
        <v>56.753</v>
      </c>
      <c r="F42" s="139">
        <v>0</v>
      </c>
      <c r="G42" s="139">
        <v>0</v>
      </c>
      <c r="H42" s="139">
        <v>13570.868999999997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13570.868999999997</v>
      </c>
    </row>
    <row r="43" spans="1:21" ht="38.25" customHeight="1" x14ac:dyDescent="0.35">
      <c r="A43" s="171">
        <v>28</v>
      </c>
      <c r="B43" s="172" t="s">
        <v>112</v>
      </c>
      <c r="C43" s="139">
        <v>980.50000000000023</v>
      </c>
      <c r="D43" s="139">
        <v>7.7</v>
      </c>
      <c r="E43" s="139">
        <v>16.622</v>
      </c>
      <c r="F43" s="139">
        <v>0</v>
      </c>
      <c r="G43" s="139">
        <v>0</v>
      </c>
      <c r="H43" s="139">
        <v>988.20000000000027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988.20000000000027</v>
      </c>
    </row>
    <row r="44" spans="1:21" s="111" customFormat="1" ht="38.25" customHeight="1" x14ac:dyDescent="0.4">
      <c r="A44" s="310" t="s">
        <v>109</v>
      </c>
      <c r="B44" s="310"/>
      <c r="C44" s="141">
        <v>32634.436999999987</v>
      </c>
      <c r="D44" s="141">
        <v>53.570000000000007</v>
      </c>
      <c r="E44" s="141">
        <v>135.767</v>
      </c>
      <c r="F44" s="141">
        <v>0</v>
      </c>
      <c r="G44" s="141">
        <v>0</v>
      </c>
      <c r="H44" s="141">
        <v>32688.006999999994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32688.006999999994</v>
      </c>
    </row>
    <row r="45" spans="1:21" ht="38.25" customHeight="1" x14ac:dyDescent="0.35">
      <c r="A45" s="171">
        <v>29</v>
      </c>
      <c r="B45" s="172" t="s">
        <v>113</v>
      </c>
      <c r="C45" s="139">
        <v>8055.6921000000011</v>
      </c>
      <c r="D45" s="139">
        <v>9.86</v>
      </c>
      <c r="E45" s="139">
        <v>17.11</v>
      </c>
      <c r="F45" s="139">
        <v>0</v>
      </c>
      <c r="G45" s="139">
        <v>0</v>
      </c>
      <c r="H45" s="139">
        <v>8065.5521000000008</v>
      </c>
      <c r="I45" s="139">
        <v>0.8600000000000001</v>
      </c>
      <c r="J45" s="139">
        <v>0</v>
      </c>
      <c r="K45" s="139">
        <v>0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8080.8421000000008</v>
      </c>
    </row>
    <row r="46" spans="1:21" ht="38.25" customHeight="1" x14ac:dyDescent="0.35">
      <c r="A46" s="171">
        <v>30</v>
      </c>
      <c r="B46" s="172" t="s">
        <v>114</v>
      </c>
      <c r="C46" s="139">
        <v>7673.0850000000009</v>
      </c>
      <c r="D46" s="139">
        <v>23.07</v>
      </c>
      <c r="E46" s="139">
        <v>29.03</v>
      </c>
      <c r="F46" s="139">
        <v>0</v>
      </c>
      <c r="G46" s="139">
        <v>0</v>
      </c>
      <c r="H46" s="139">
        <v>7696.1550000000007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7697.1150000000007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8406.1200000000008</v>
      </c>
      <c r="D47" s="139">
        <v>0</v>
      </c>
      <c r="E47" s="139">
        <v>7.69</v>
      </c>
      <c r="F47" s="139">
        <v>0</v>
      </c>
      <c r="G47" s="139">
        <v>0</v>
      </c>
      <c r="H47" s="139">
        <v>8406.1200000000008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8413.0400000000009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7535.8789999999999</v>
      </c>
      <c r="D48" s="139">
        <v>35.35</v>
      </c>
      <c r="E48" s="139">
        <v>69.198999999999998</v>
      </c>
      <c r="F48" s="139">
        <v>0</v>
      </c>
      <c r="G48" s="139">
        <v>0</v>
      </c>
      <c r="H48" s="139">
        <v>7571.2290000000003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7571.7340000000004</v>
      </c>
    </row>
    <row r="49" spans="1:21" s="111" customFormat="1" ht="38.25" customHeight="1" x14ac:dyDescent="0.4">
      <c r="A49" s="310" t="s">
        <v>117</v>
      </c>
      <c r="B49" s="310"/>
      <c r="C49" s="141">
        <v>31670.776100000003</v>
      </c>
      <c r="D49" s="141">
        <v>68.28</v>
      </c>
      <c r="E49" s="141">
        <v>123.029</v>
      </c>
      <c r="F49" s="141">
        <v>0</v>
      </c>
      <c r="G49" s="141">
        <v>0</v>
      </c>
      <c r="H49" s="141">
        <v>31739.056100000002</v>
      </c>
      <c r="I49" s="141">
        <v>9.2149999999999999</v>
      </c>
      <c r="J49" s="141">
        <v>0</v>
      </c>
      <c r="K49" s="141">
        <v>0</v>
      </c>
      <c r="L49" s="141">
        <v>0</v>
      </c>
      <c r="M49" s="141">
        <v>0</v>
      </c>
      <c r="N49" s="141">
        <v>9.2149999999999999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31762.731100000001</v>
      </c>
    </row>
    <row r="50" spans="1:21" s="145" customFormat="1" ht="38.25" customHeight="1" x14ac:dyDescent="0.4">
      <c r="A50" s="310" t="s">
        <v>118</v>
      </c>
      <c r="B50" s="310"/>
      <c r="C50" s="141">
        <v>64305.213099999994</v>
      </c>
      <c r="D50" s="141">
        <v>121.85000000000001</v>
      </c>
      <c r="E50" s="141">
        <v>258.79599999999999</v>
      </c>
      <c r="F50" s="141">
        <v>0</v>
      </c>
      <c r="G50" s="141">
        <v>0</v>
      </c>
      <c r="H50" s="141">
        <v>64427.063099999999</v>
      </c>
      <c r="I50" s="141">
        <v>9.2149999999999999</v>
      </c>
      <c r="J50" s="141">
        <v>0</v>
      </c>
      <c r="K50" s="141">
        <v>0</v>
      </c>
      <c r="L50" s="141">
        <v>0</v>
      </c>
      <c r="M50" s="141">
        <v>0</v>
      </c>
      <c r="N50" s="141">
        <v>9.2149999999999999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64450.738099999995</v>
      </c>
    </row>
    <row r="51" spans="1:21" s="146" customFormat="1" ht="38.25" customHeight="1" x14ac:dyDescent="0.4">
      <c r="A51" s="310" t="s">
        <v>119</v>
      </c>
      <c r="B51" s="310"/>
      <c r="C51" s="141">
        <v>112329.77589999999</v>
      </c>
      <c r="D51" s="141">
        <v>169.88600000000002</v>
      </c>
      <c r="E51" s="141">
        <v>366.35599999999999</v>
      </c>
      <c r="F51" s="141">
        <v>35.93</v>
      </c>
      <c r="G51" s="141">
        <v>35.93</v>
      </c>
      <c r="H51" s="141">
        <v>112463.73189999998</v>
      </c>
      <c r="I51" s="141">
        <v>6962.0390000000007</v>
      </c>
      <c r="J51" s="141">
        <v>81.293999999999997</v>
      </c>
      <c r="K51" s="141">
        <v>118.87800000000001</v>
      </c>
      <c r="L51" s="141">
        <v>0</v>
      </c>
      <c r="M51" s="141">
        <v>0</v>
      </c>
      <c r="N51" s="141">
        <v>7043.3330000000014</v>
      </c>
      <c r="O51" s="141">
        <v>924.70399999999995</v>
      </c>
      <c r="P51" s="141">
        <v>0</v>
      </c>
      <c r="Q51" s="141">
        <v>7.0000000000000001E-3</v>
      </c>
      <c r="R51" s="141">
        <v>1.88</v>
      </c>
      <c r="S51" s="141">
        <v>1.88</v>
      </c>
      <c r="T51" s="141">
        <v>922.82399999999996</v>
      </c>
      <c r="U51" s="141">
        <v>120429.88889999999</v>
      </c>
    </row>
    <row r="52" spans="1:21" s="111" customFormat="1" ht="24" customHeight="1" x14ac:dyDescent="0.4">
      <c r="A52" s="115"/>
      <c r="B52" s="115"/>
      <c r="C52" s="183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</row>
    <row r="53" spans="1:21" s="111" customFormat="1" ht="19.5" customHeight="1" x14ac:dyDescent="0.4">
      <c r="A53" s="115"/>
      <c r="B53" s="115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</row>
    <row r="54" spans="1:21" s="115" customFormat="1" ht="24.75" hidden="1" customHeight="1" x14ac:dyDescent="0.4">
      <c r="B54" s="183"/>
      <c r="C54" s="278" t="s">
        <v>54</v>
      </c>
      <c r="D54" s="278"/>
      <c r="E54" s="278"/>
      <c r="F54" s="278"/>
      <c r="G54" s="278"/>
      <c r="H54" s="118"/>
      <c r="I54" s="183"/>
      <c r="J54" s="183">
        <f>D51+J51+P51-F51-L51-R51</f>
        <v>213.37</v>
      </c>
      <c r="K54" s="183"/>
      <c r="L54" s="183"/>
      <c r="M54" s="183"/>
      <c r="N54" s="183"/>
      <c r="R54" s="183"/>
      <c r="U54" s="183"/>
    </row>
    <row r="55" spans="1:21" s="115" customFormat="1" ht="30" hidden="1" customHeight="1" x14ac:dyDescent="0.35">
      <c r="B55" s="183"/>
      <c r="C55" s="278" t="s">
        <v>55</v>
      </c>
      <c r="D55" s="278"/>
      <c r="E55" s="278"/>
      <c r="F55" s="278"/>
      <c r="G55" s="278"/>
      <c r="H55" s="119"/>
      <c r="I55" s="183"/>
      <c r="J55" s="183">
        <f>E51+K51+Q51-G51-M51-S51</f>
        <v>447.43100000000004</v>
      </c>
      <c r="K55" s="183"/>
      <c r="L55" s="183"/>
      <c r="M55" s="183"/>
      <c r="N55" s="183"/>
      <c r="R55" s="183"/>
      <c r="T55" s="183"/>
    </row>
    <row r="56" spans="1:21" ht="33" hidden="1" customHeight="1" x14ac:dyDescent="0.5">
      <c r="C56" s="278" t="s">
        <v>56</v>
      </c>
      <c r="D56" s="278"/>
      <c r="E56" s="278"/>
      <c r="F56" s="278"/>
      <c r="G56" s="278"/>
      <c r="H56" s="119"/>
      <c r="I56" s="121"/>
      <c r="J56" s="183">
        <f>H51+N51+T51</f>
        <v>120429.88889999998</v>
      </c>
      <c r="K56" s="119"/>
      <c r="L56" s="119"/>
      <c r="M56" s="142" t="e">
        <f>#REF!+'May-2021'!J54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83"/>
      <c r="E57" s="183"/>
      <c r="F57" s="183"/>
      <c r="G57" s="183"/>
      <c r="H57" s="119"/>
      <c r="I57" s="121"/>
      <c r="J57" s="183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83"/>
      <c r="E58" s="183"/>
      <c r="F58" s="183"/>
      <c r="G58" s="183"/>
      <c r="H58" s="119"/>
      <c r="I58" s="121"/>
      <c r="J58" s="183"/>
      <c r="K58" s="119"/>
      <c r="L58" s="119"/>
      <c r="M58" s="142" t="e">
        <f>#REF!+'May-2021'!J54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87" t="s">
        <v>57</v>
      </c>
      <c r="C59" s="287"/>
      <c r="D59" s="287"/>
      <c r="E59" s="287"/>
      <c r="F59" s="287"/>
      <c r="G59" s="153"/>
      <c r="H59" s="154"/>
      <c r="I59" s="155"/>
      <c r="J59" s="288"/>
      <c r="K59" s="286"/>
      <c r="L59" s="286"/>
      <c r="M59" s="169" t="e">
        <f>#REF!+'May-2021'!J54</f>
        <v>#REF!</v>
      </c>
      <c r="N59" s="154"/>
      <c r="O59" s="154"/>
      <c r="P59" s="186"/>
      <c r="Q59" s="287" t="s">
        <v>58</v>
      </c>
      <c r="R59" s="287"/>
      <c r="S59" s="287"/>
      <c r="T59" s="287"/>
      <c r="U59" s="287"/>
    </row>
    <row r="60" spans="1:21" s="152" customFormat="1" ht="37.5" hidden="1" customHeight="1" x14ac:dyDescent="0.45">
      <c r="B60" s="287" t="s">
        <v>59</v>
      </c>
      <c r="C60" s="287"/>
      <c r="D60" s="287"/>
      <c r="E60" s="287"/>
      <c r="F60" s="287"/>
      <c r="G60" s="154"/>
      <c r="H60" s="153"/>
      <c r="I60" s="156"/>
      <c r="J60" s="157"/>
      <c r="K60" s="185"/>
      <c r="L60" s="157"/>
      <c r="M60" s="154"/>
      <c r="N60" s="153"/>
      <c r="O60" s="154"/>
      <c r="P60" s="186"/>
      <c r="Q60" s="287" t="s">
        <v>59</v>
      </c>
      <c r="R60" s="287"/>
      <c r="S60" s="287"/>
      <c r="T60" s="287"/>
      <c r="U60" s="287"/>
    </row>
    <row r="61" spans="1:21" s="152" customFormat="1" ht="37.5" hidden="1" customHeight="1" x14ac:dyDescent="0.45">
      <c r="I61" s="158"/>
      <c r="J61" s="286" t="s">
        <v>61</v>
      </c>
      <c r="K61" s="286"/>
      <c r="L61" s="286"/>
      <c r="M61" s="159" t="e">
        <f>#REF!+'May-2021'!J54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#REF!+'May-2021'!J54</f>
        <v>#REF!</v>
      </c>
      <c r="I62" s="158"/>
      <c r="J62" s="286" t="s">
        <v>62</v>
      </c>
      <c r="K62" s="286"/>
      <c r="L62" s="286"/>
      <c r="M62" s="159" t="e">
        <f>#REF!+'May-2021'!J54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topLeftCell="H1" zoomScale="48" zoomScaleNormal="48" workbookViewId="0">
      <pane ySplit="6" topLeftCell="A46" activePane="bottomLeft" state="frozen"/>
      <selection pane="bottomLeft" activeCell="F13" sqref="F13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135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02" t="s">
        <v>122</v>
      </c>
      <c r="B4" s="305" t="s">
        <v>121</v>
      </c>
      <c r="C4" s="281" t="s">
        <v>131</v>
      </c>
      <c r="D4" s="282"/>
      <c r="E4" s="282"/>
      <c r="F4" s="282"/>
      <c r="G4" s="282"/>
      <c r="H4" s="282"/>
      <c r="I4" s="281" t="s">
        <v>130</v>
      </c>
      <c r="J4" s="282"/>
      <c r="K4" s="282"/>
      <c r="L4" s="282"/>
      <c r="M4" s="282"/>
      <c r="N4" s="282"/>
      <c r="O4" s="281" t="s">
        <v>129</v>
      </c>
      <c r="P4" s="282"/>
      <c r="Q4" s="282"/>
      <c r="R4" s="282"/>
      <c r="S4" s="282"/>
      <c r="T4" s="282"/>
      <c r="U4" s="189"/>
    </row>
    <row r="5" spans="1:21" s="108" customFormat="1" ht="54.75" customHeight="1" x14ac:dyDescent="0.25">
      <c r="A5" s="304"/>
      <c r="B5" s="306"/>
      <c r="C5" s="291" t="s">
        <v>6</v>
      </c>
      <c r="D5" s="289" t="s">
        <v>127</v>
      </c>
      <c r="E5" s="290"/>
      <c r="F5" s="289" t="s">
        <v>126</v>
      </c>
      <c r="G5" s="290"/>
      <c r="H5" s="291" t="s">
        <v>9</v>
      </c>
      <c r="I5" s="291" t="s">
        <v>6</v>
      </c>
      <c r="J5" s="289" t="s">
        <v>127</v>
      </c>
      <c r="K5" s="290"/>
      <c r="L5" s="289" t="s">
        <v>126</v>
      </c>
      <c r="M5" s="290"/>
      <c r="N5" s="291" t="s">
        <v>9</v>
      </c>
      <c r="O5" s="291" t="s">
        <v>6</v>
      </c>
      <c r="P5" s="289" t="s">
        <v>127</v>
      </c>
      <c r="Q5" s="290"/>
      <c r="R5" s="289" t="s">
        <v>126</v>
      </c>
      <c r="S5" s="290"/>
      <c r="T5" s="291" t="s">
        <v>9</v>
      </c>
      <c r="U5" s="305" t="s">
        <v>128</v>
      </c>
    </row>
    <row r="6" spans="1:21" s="108" customFormat="1" ht="38.25" customHeight="1" x14ac:dyDescent="0.25">
      <c r="A6" s="304"/>
      <c r="B6" s="307"/>
      <c r="C6" s="292"/>
      <c r="D6" s="172" t="s">
        <v>124</v>
      </c>
      <c r="E6" s="172" t="s">
        <v>125</v>
      </c>
      <c r="F6" s="172" t="s">
        <v>124</v>
      </c>
      <c r="G6" s="172" t="s">
        <v>125</v>
      </c>
      <c r="H6" s="292"/>
      <c r="I6" s="292"/>
      <c r="J6" s="172" t="s">
        <v>124</v>
      </c>
      <c r="K6" s="172" t="s">
        <v>125</v>
      </c>
      <c r="L6" s="172" t="s">
        <v>124</v>
      </c>
      <c r="M6" s="172" t="s">
        <v>125</v>
      </c>
      <c r="N6" s="292"/>
      <c r="O6" s="292"/>
      <c r="P6" s="172" t="s">
        <v>124</v>
      </c>
      <c r="Q6" s="172" t="s">
        <v>125</v>
      </c>
      <c r="R6" s="172" t="s">
        <v>124</v>
      </c>
      <c r="S6" s="172" t="s">
        <v>125</v>
      </c>
      <c r="T6" s="292"/>
      <c r="U6" s="307"/>
    </row>
    <row r="7" spans="1:21" ht="38.25" customHeight="1" x14ac:dyDescent="0.35">
      <c r="A7" s="171">
        <v>1</v>
      </c>
      <c r="B7" s="172" t="s">
        <v>78</v>
      </c>
      <c r="C7" s="139">
        <v>455.40999999999985</v>
      </c>
      <c r="D7" s="139">
        <v>0</v>
      </c>
      <c r="E7" s="139">
        <v>0</v>
      </c>
      <c r="F7" s="139">
        <v>4.4779999999999998</v>
      </c>
      <c r="G7" s="139">
        <v>8.9580000000000002</v>
      </c>
      <c r="H7" s="139">
        <v>450.93199999999985</v>
      </c>
      <c r="I7" s="139">
        <v>558.70799999999986</v>
      </c>
      <c r="J7" s="139">
        <v>0.55000000000000004</v>
      </c>
      <c r="K7" s="139">
        <v>8.2030000000000012</v>
      </c>
      <c r="L7" s="139">
        <v>0</v>
      </c>
      <c r="M7" s="139">
        <v>0</v>
      </c>
      <c r="N7" s="139">
        <v>559.25799999999981</v>
      </c>
      <c r="O7" s="139">
        <v>68.220000000000013</v>
      </c>
      <c r="P7" s="139">
        <v>1.88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1080.2899999999995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80.125000000000028</v>
      </c>
      <c r="J8" s="139">
        <v>2.573</v>
      </c>
      <c r="K8" s="139">
        <v>4.0279999999999996</v>
      </c>
      <c r="L8" s="139">
        <v>0</v>
      </c>
      <c r="M8" s="139">
        <v>0</v>
      </c>
      <c r="N8" s="139">
        <v>82.698000000000022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88.243000000000009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538.00800000000004</v>
      </c>
      <c r="J9" s="139">
        <v>1.1000000000000001</v>
      </c>
      <c r="K9" s="139">
        <v>3.37</v>
      </c>
      <c r="L9" s="139">
        <v>0</v>
      </c>
      <c r="M9" s="139">
        <v>0</v>
      </c>
      <c r="N9" s="139">
        <v>539.10800000000006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892.67800000000011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481.29499999999996</v>
      </c>
      <c r="J10" s="139">
        <v>1.37</v>
      </c>
      <c r="K10" s="139">
        <v>2.27</v>
      </c>
      <c r="L10" s="139">
        <v>0</v>
      </c>
      <c r="M10" s="139">
        <v>0</v>
      </c>
      <c r="N10" s="139">
        <v>482.66499999999996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490.82499999999999</v>
      </c>
    </row>
    <row r="11" spans="1:21" s="111" customFormat="1" ht="38.25" customHeight="1" x14ac:dyDescent="0.4">
      <c r="A11" s="308" t="s">
        <v>82</v>
      </c>
      <c r="B11" s="309"/>
      <c r="C11" s="141">
        <v>776.8649999999999</v>
      </c>
      <c r="D11" s="141">
        <v>0</v>
      </c>
      <c r="E11" s="141">
        <v>0</v>
      </c>
      <c r="F11" s="141">
        <v>4.4779999999999998</v>
      </c>
      <c r="G11" s="141">
        <v>8.9580000000000002</v>
      </c>
      <c r="H11" s="141">
        <v>772.38699999999994</v>
      </c>
      <c r="I11" s="141">
        <v>1658.136</v>
      </c>
      <c r="J11" s="141">
        <v>5.5930000000000009</v>
      </c>
      <c r="K11" s="141">
        <v>17.871000000000002</v>
      </c>
      <c r="L11" s="141">
        <v>0</v>
      </c>
      <c r="M11" s="141">
        <v>0</v>
      </c>
      <c r="N11" s="141">
        <v>1663.7289999999998</v>
      </c>
      <c r="O11" s="141">
        <v>114.04</v>
      </c>
      <c r="P11" s="141">
        <v>1.88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2552.0359999999991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782.53499999999985</v>
      </c>
      <c r="J12" s="139">
        <v>1.6</v>
      </c>
      <c r="K12" s="139">
        <v>62.094999999999999</v>
      </c>
      <c r="L12" s="139">
        <v>0</v>
      </c>
      <c r="M12" s="139">
        <v>0</v>
      </c>
      <c r="N12" s="139">
        <v>784.13499999999988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1361.7649999999996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521.57200000000023</v>
      </c>
      <c r="J13" s="139">
        <v>0.21</v>
      </c>
      <c r="K13" s="139">
        <v>0.88200000000000001</v>
      </c>
      <c r="L13" s="139">
        <v>0</v>
      </c>
      <c r="M13" s="139">
        <v>0</v>
      </c>
      <c r="N13" s="139">
        <v>521.78200000000027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858.89200000000039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0.15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848.66800000000023</v>
      </c>
      <c r="J14" s="139">
        <v>5.9</v>
      </c>
      <c r="K14" s="139">
        <v>26.167999999999999</v>
      </c>
      <c r="L14" s="139">
        <v>0</v>
      </c>
      <c r="M14" s="139">
        <v>0</v>
      </c>
      <c r="N14" s="139">
        <v>854.56800000000021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2190.2279999999996</v>
      </c>
    </row>
    <row r="15" spans="1:21" s="111" customFormat="1" ht="38.25" customHeight="1" x14ac:dyDescent="0.4">
      <c r="A15" s="308" t="s">
        <v>86</v>
      </c>
      <c r="B15" s="309"/>
      <c r="C15" s="141">
        <v>2128.329999999999</v>
      </c>
      <c r="D15" s="141">
        <v>0.15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2152.7750000000001</v>
      </c>
      <c r="J15" s="141">
        <v>7.7100000000000009</v>
      </c>
      <c r="K15" s="141">
        <v>89.144999999999996</v>
      </c>
      <c r="L15" s="141">
        <v>0</v>
      </c>
      <c r="M15" s="141">
        <v>0</v>
      </c>
      <c r="N15" s="141">
        <v>2160.4850000000006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4410.8850000000002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1024.9740000000004</v>
      </c>
      <c r="D16" s="139">
        <v>0.26</v>
      </c>
      <c r="E16" s="139">
        <v>0.44</v>
      </c>
      <c r="F16" s="139">
        <v>0</v>
      </c>
      <c r="G16" s="139">
        <v>0</v>
      </c>
      <c r="H16" s="139">
        <v>1025.2340000000004</v>
      </c>
      <c r="I16" s="139">
        <v>111.58599999999997</v>
      </c>
      <c r="J16" s="139">
        <v>0.18</v>
      </c>
      <c r="K16" s="139">
        <v>0.99499999999999988</v>
      </c>
      <c r="L16" s="139">
        <v>0</v>
      </c>
      <c r="M16" s="139">
        <v>0</v>
      </c>
      <c r="N16" s="139">
        <v>111.76599999999998</v>
      </c>
      <c r="O16" s="139">
        <v>245.90200000000002</v>
      </c>
      <c r="P16" s="139">
        <v>0</v>
      </c>
      <c r="Q16" s="139">
        <v>0</v>
      </c>
      <c r="R16" s="139">
        <v>0</v>
      </c>
      <c r="S16" s="139">
        <v>0</v>
      </c>
      <c r="T16" s="139">
        <v>245.90200000000002</v>
      </c>
      <c r="U16" s="139">
        <v>1382.9020000000005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</v>
      </c>
      <c r="F17" s="174">
        <v>39.729999999999997</v>
      </c>
      <c r="G17" s="139">
        <v>39.729999999999997</v>
      </c>
      <c r="H17" s="139">
        <v>144.09599999999995</v>
      </c>
      <c r="I17" s="139">
        <v>341.49000000000012</v>
      </c>
      <c r="J17" s="174">
        <v>22.17</v>
      </c>
      <c r="K17" s="139">
        <v>22.92</v>
      </c>
      <c r="L17" s="174">
        <v>0</v>
      </c>
      <c r="M17" s="139">
        <v>0</v>
      </c>
      <c r="N17" s="139">
        <v>363.66000000000014</v>
      </c>
      <c r="O17" s="139">
        <v>64.375</v>
      </c>
      <c r="P17" s="174">
        <v>0.03</v>
      </c>
      <c r="Q17" s="139">
        <v>0.03</v>
      </c>
      <c r="R17" s="174">
        <v>1.665</v>
      </c>
      <c r="S17" s="139">
        <v>1.665</v>
      </c>
      <c r="T17" s="139">
        <v>62.74</v>
      </c>
      <c r="U17" s="139">
        <v>570.49600000000009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0.15</v>
      </c>
      <c r="E18" s="139">
        <v>0.15</v>
      </c>
      <c r="F18" s="139">
        <v>0</v>
      </c>
      <c r="G18" s="139">
        <v>0</v>
      </c>
      <c r="H18" s="139">
        <v>210.70600000000007</v>
      </c>
      <c r="I18" s="139">
        <v>347.72699999999998</v>
      </c>
      <c r="J18" s="139">
        <v>0.03</v>
      </c>
      <c r="K18" s="139">
        <v>1.55</v>
      </c>
      <c r="L18" s="139">
        <v>0</v>
      </c>
      <c r="M18" s="139">
        <v>0</v>
      </c>
      <c r="N18" s="139">
        <v>347.75699999999995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566.83799999999997</v>
      </c>
    </row>
    <row r="19" spans="1:21" s="111" customFormat="1" ht="38.25" customHeight="1" x14ac:dyDescent="0.4">
      <c r="A19" s="308" t="s">
        <v>89</v>
      </c>
      <c r="B19" s="309"/>
      <c r="C19" s="141">
        <v>1419.3560000000004</v>
      </c>
      <c r="D19" s="141">
        <v>0.41000000000000003</v>
      </c>
      <c r="E19" s="141">
        <v>0.59</v>
      </c>
      <c r="F19" s="141">
        <v>39.729999999999997</v>
      </c>
      <c r="G19" s="141">
        <v>39.729999999999997</v>
      </c>
      <c r="H19" s="141">
        <v>1380.0360000000005</v>
      </c>
      <c r="I19" s="141">
        <v>800.80300000000011</v>
      </c>
      <c r="J19" s="141">
        <v>22.380000000000003</v>
      </c>
      <c r="K19" s="141">
        <v>25.465000000000003</v>
      </c>
      <c r="L19" s="141">
        <v>0</v>
      </c>
      <c r="M19" s="141">
        <v>0</v>
      </c>
      <c r="N19" s="141">
        <v>823.18299999999999</v>
      </c>
      <c r="O19" s="141">
        <v>318.65200000000004</v>
      </c>
      <c r="P19" s="141">
        <v>0.03</v>
      </c>
      <c r="Q19" s="141">
        <v>0.03</v>
      </c>
      <c r="R19" s="141">
        <v>1.665</v>
      </c>
      <c r="S19" s="141">
        <v>1.665</v>
      </c>
      <c r="T19" s="141">
        <v>317.017</v>
      </c>
      <c r="U19" s="141">
        <v>2520.2360000000008</v>
      </c>
    </row>
    <row r="20" spans="1:21" ht="38.25" customHeight="1" x14ac:dyDescent="0.35">
      <c r="A20" s="171">
        <v>8</v>
      </c>
      <c r="B20" s="172" t="s">
        <v>91</v>
      </c>
      <c r="C20" s="139">
        <v>639.94999999999993</v>
      </c>
      <c r="D20" s="139">
        <v>1.41</v>
      </c>
      <c r="E20" s="139">
        <v>1.71</v>
      </c>
      <c r="F20" s="139">
        <v>0</v>
      </c>
      <c r="G20" s="139">
        <v>0</v>
      </c>
      <c r="H20" s="139">
        <v>641.3599999999999</v>
      </c>
      <c r="I20" s="139">
        <v>391.19500000000005</v>
      </c>
      <c r="J20" s="139">
        <v>0.41499999999999998</v>
      </c>
      <c r="K20" s="139">
        <v>1.6</v>
      </c>
      <c r="L20" s="139">
        <v>0</v>
      </c>
      <c r="M20" s="139">
        <v>0</v>
      </c>
      <c r="N20" s="139">
        <v>391.61000000000007</v>
      </c>
      <c r="O20" s="139">
        <v>40.220000000000006</v>
      </c>
      <c r="P20" s="139">
        <v>0</v>
      </c>
      <c r="Q20" s="139">
        <v>0</v>
      </c>
      <c r="R20" s="139">
        <v>0</v>
      </c>
      <c r="S20" s="139">
        <v>0</v>
      </c>
      <c r="T20" s="139">
        <v>40.220000000000006</v>
      </c>
      <c r="U20" s="139">
        <v>1073.19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398.87299999999999</v>
      </c>
      <c r="J21" s="139">
        <v>14.48</v>
      </c>
      <c r="K21" s="139">
        <v>24.85</v>
      </c>
      <c r="L21" s="139">
        <v>0</v>
      </c>
      <c r="M21" s="139">
        <v>0</v>
      </c>
      <c r="N21" s="139">
        <v>413.35300000000001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443.47300000000001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0.85</v>
      </c>
      <c r="E22" s="139">
        <v>0.85</v>
      </c>
      <c r="F22" s="139">
        <v>64.459999999999994</v>
      </c>
      <c r="G22" s="139">
        <v>64.459999999999994</v>
      </c>
      <c r="H22" s="139">
        <v>117.10000000000005</v>
      </c>
      <c r="I22" s="139">
        <v>357.05500000000001</v>
      </c>
      <c r="J22" s="139">
        <v>101.42</v>
      </c>
      <c r="K22" s="139">
        <v>105.01</v>
      </c>
      <c r="L22" s="139">
        <v>19.510000000000002</v>
      </c>
      <c r="M22" s="139">
        <v>19.510000000000002</v>
      </c>
      <c r="N22" s="139">
        <v>438.96500000000003</v>
      </c>
      <c r="O22" s="139">
        <v>13.350000000000001</v>
      </c>
      <c r="P22" s="139">
        <v>0</v>
      </c>
      <c r="Q22" s="139">
        <v>0</v>
      </c>
      <c r="R22" s="139">
        <v>12.75</v>
      </c>
      <c r="S22" s="139">
        <v>12.75</v>
      </c>
      <c r="T22" s="139">
        <v>0.60000000000000142</v>
      </c>
      <c r="U22" s="139">
        <v>556.66500000000008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428.29499999999985</v>
      </c>
      <c r="D23" s="139">
        <v>0.18</v>
      </c>
      <c r="E23" s="139">
        <v>6.18</v>
      </c>
      <c r="F23" s="139">
        <v>0</v>
      </c>
      <c r="G23" s="139">
        <v>0</v>
      </c>
      <c r="H23" s="139">
        <v>428.47499999999985</v>
      </c>
      <c r="I23" s="139">
        <v>78.069999999999993</v>
      </c>
      <c r="J23" s="139">
        <v>3.49</v>
      </c>
      <c r="K23" s="139">
        <v>4.76</v>
      </c>
      <c r="L23" s="139">
        <v>0</v>
      </c>
      <c r="M23" s="139">
        <v>0</v>
      </c>
      <c r="N23" s="139">
        <v>81.559999999999988</v>
      </c>
      <c r="O23" s="139">
        <v>22.5</v>
      </c>
      <c r="P23" s="139">
        <v>0</v>
      </c>
      <c r="Q23" s="139">
        <v>0</v>
      </c>
      <c r="R23" s="139">
        <v>3.26</v>
      </c>
      <c r="S23" s="139">
        <v>3.26</v>
      </c>
      <c r="T23" s="139">
        <v>19.240000000000002</v>
      </c>
      <c r="U23" s="139">
        <v>529.27499999999986</v>
      </c>
    </row>
    <row r="24" spans="1:21" s="111" customFormat="1" ht="38.25" customHeight="1" x14ac:dyDescent="0.4">
      <c r="A24" s="310" t="s">
        <v>94</v>
      </c>
      <c r="B24" s="310"/>
      <c r="C24" s="141">
        <v>1259.5149999999999</v>
      </c>
      <c r="D24" s="141">
        <v>2.44</v>
      </c>
      <c r="E24" s="141">
        <v>8.74</v>
      </c>
      <c r="F24" s="141">
        <v>64.459999999999994</v>
      </c>
      <c r="G24" s="141">
        <v>72.819999999999993</v>
      </c>
      <c r="H24" s="141">
        <v>1197.4949999999997</v>
      </c>
      <c r="I24" s="141">
        <v>1225.193</v>
      </c>
      <c r="J24" s="141">
        <v>119.80499999999999</v>
      </c>
      <c r="K24" s="141">
        <v>136.22</v>
      </c>
      <c r="L24" s="141">
        <v>19.510000000000002</v>
      </c>
      <c r="M24" s="141">
        <v>19.510000000000002</v>
      </c>
      <c r="N24" s="141">
        <v>1325.4880000000001</v>
      </c>
      <c r="O24" s="141">
        <v>95.63</v>
      </c>
      <c r="P24" s="141">
        <v>0</v>
      </c>
      <c r="Q24" s="141">
        <v>0</v>
      </c>
      <c r="R24" s="141">
        <v>16.009999999999998</v>
      </c>
      <c r="S24" s="141">
        <v>16.009999999999998</v>
      </c>
      <c r="T24" s="141">
        <v>79.62</v>
      </c>
      <c r="U24" s="141">
        <v>2602.6030000000001</v>
      </c>
    </row>
    <row r="25" spans="1:21" s="145" customFormat="1" ht="38.25" customHeight="1" x14ac:dyDescent="0.4">
      <c r="A25" s="311" t="s">
        <v>95</v>
      </c>
      <c r="B25" s="312"/>
      <c r="C25" s="141">
        <v>5584.0659999999989</v>
      </c>
      <c r="D25" s="141">
        <v>3</v>
      </c>
      <c r="E25" s="141">
        <v>9.48</v>
      </c>
      <c r="F25" s="141">
        <v>108.66799999999999</v>
      </c>
      <c r="G25" s="141">
        <v>144.59799999999998</v>
      </c>
      <c r="H25" s="141">
        <v>5478.3979999999983</v>
      </c>
      <c r="I25" s="141">
        <v>5836.9070000000011</v>
      </c>
      <c r="J25" s="141">
        <v>155.488</v>
      </c>
      <c r="K25" s="141">
        <v>268.70099999999996</v>
      </c>
      <c r="L25" s="141">
        <v>19.510000000000002</v>
      </c>
      <c r="M25" s="141">
        <v>19.510000000000002</v>
      </c>
      <c r="N25" s="141">
        <v>5972.8850000000002</v>
      </c>
      <c r="O25" s="141">
        <v>650.24199999999996</v>
      </c>
      <c r="P25" s="141">
        <v>1.91</v>
      </c>
      <c r="Q25" s="141">
        <v>1.91</v>
      </c>
      <c r="R25" s="141">
        <v>17.674999999999997</v>
      </c>
      <c r="S25" s="141">
        <v>19.554999999999996</v>
      </c>
      <c r="T25" s="141">
        <v>634.47699999999998</v>
      </c>
      <c r="U25" s="141">
        <v>12085.760000000002</v>
      </c>
    </row>
    <row r="26" spans="1:21" ht="38.25" customHeight="1" x14ac:dyDescent="0.35">
      <c r="A26" s="171">
        <v>15</v>
      </c>
      <c r="B26" s="172" t="s">
        <v>96</v>
      </c>
      <c r="C26" s="139">
        <v>7417.4519999999993</v>
      </c>
      <c r="D26" s="139">
        <v>20.335000000000001</v>
      </c>
      <c r="E26" s="139">
        <v>37.14</v>
      </c>
      <c r="F26" s="139">
        <v>0</v>
      </c>
      <c r="G26" s="139">
        <v>0</v>
      </c>
      <c r="H26" s="139">
        <v>7437.7869999999994</v>
      </c>
      <c r="I26" s="139">
        <v>59.050000000000004</v>
      </c>
      <c r="J26" s="139">
        <v>0</v>
      </c>
      <c r="K26" s="139">
        <v>0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1.31</v>
      </c>
      <c r="Q26" s="139">
        <v>1.31</v>
      </c>
      <c r="R26" s="139">
        <v>0</v>
      </c>
      <c r="S26" s="139">
        <v>0</v>
      </c>
      <c r="T26" s="139">
        <v>2.33</v>
      </c>
      <c r="U26" s="139">
        <v>7499.1669999999995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5482.3150000000014</v>
      </c>
      <c r="D27" s="139">
        <v>8.23</v>
      </c>
      <c r="E27" s="139">
        <v>22.045000000000002</v>
      </c>
      <c r="F27" s="139">
        <v>0</v>
      </c>
      <c r="G27" s="139">
        <v>0</v>
      </c>
      <c r="H27" s="139">
        <v>5490.545000000001</v>
      </c>
      <c r="I27" s="139">
        <v>558.55800000000011</v>
      </c>
      <c r="J27" s="139">
        <v>1.4</v>
      </c>
      <c r="K27" s="139">
        <v>3.9599999999999995</v>
      </c>
      <c r="L27" s="139">
        <v>0</v>
      </c>
      <c r="M27" s="139">
        <v>0</v>
      </c>
      <c r="N27" s="139">
        <v>559.95800000000008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6067.4230000000007</v>
      </c>
    </row>
    <row r="28" spans="1:21" s="111" customFormat="1" ht="38.25" customHeight="1" x14ac:dyDescent="0.4">
      <c r="A28" s="310" t="s">
        <v>98</v>
      </c>
      <c r="B28" s="310"/>
      <c r="C28" s="141">
        <v>12899.767</v>
      </c>
      <c r="D28" s="141">
        <v>28.565000000000001</v>
      </c>
      <c r="E28" s="141">
        <v>59.185000000000002</v>
      </c>
      <c r="F28" s="141">
        <v>0</v>
      </c>
      <c r="G28" s="141">
        <v>0</v>
      </c>
      <c r="H28" s="141">
        <v>12928.332</v>
      </c>
      <c r="I28" s="141">
        <v>617.60800000000006</v>
      </c>
      <c r="J28" s="141">
        <v>1.4</v>
      </c>
      <c r="K28" s="141">
        <v>3.9599999999999995</v>
      </c>
      <c r="L28" s="141">
        <v>0</v>
      </c>
      <c r="M28" s="141">
        <v>0</v>
      </c>
      <c r="N28" s="141">
        <v>619.00800000000004</v>
      </c>
      <c r="O28" s="141">
        <v>17.940000000000001</v>
      </c>
      <c r="P28" s="141">
        <v>1.31</v>
      </c>
      <c r="Q28" s="141">
        <v>1.31</v>
      </c>
      <c r="R28" s="141">
        <v>0</v>
      </c>
      <c r="S28" s="141">
        <v>0</v>
      </c>
      <c r="T28" s="141">
        <v>19.25</v>
      </c>
      <c r="U28" s="141">
        <v>13566.59</v>
      </c>
    </row>
    <row r="29" spans="1:21" ht="38.25" customHeight="1" x14ac:dyDescent="0.35">
      <c r="A29" s="171">
        <v>17</v>
      </c>
      <c r="B29" s="172" t="s">
        <v>99</v>
      </c>
      <c r="C29" s="139">
        <v>4392.5080000000007</v>
      </c>
      <c r="D29" s="139">
        <v>2.98</v>
      </c>
      <c r="E29" s="139">
        <v>12.411000000000001</v>
      </c>
      <c r="F29" s="139">
        <v>0</v>
      </c>
      <c r="G29" s="139">
        <v>0</v>
      </c>
      <c r="H29" s="139">
        <v>4395.4880000000003</v>
      </c>
      <c r="I29" s="139">
        <v>96.66</v>
      </c>
      <c r="J29" s="139">
        <v>0</v>
      </c>
      <c r="K29" s="139">
        <v>0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4549.8680000000004</v>
      </c>
    </row>
    <row r="30" spans="1:21" ht="38.25" customHeight="1" x14ac:dyDescent="0.35">
      <c r="A30" s="171">
        <v>18</v>
      </c>
      <c r="B30" s="172" t="s">
        <v>100</v>
      </c>
      <c r="C30" s="139">
        <v>403.86099999999993</v>
      </c>
      <c r="D30" s="139">
        <v>4.16</v>
      </c>
      <c r="E30" s="139">
        <v>5.109</v>
      </c>
      <c r="F30" s="139">
        <v>0</v>
      </c>
      <c r="G30" s="139">
        <v>0</v>
      </c>
      <c r="H30" s="139">
        <v>408.02099999999996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429.56799999999998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4229.4210000000003</v>
      </c>
      <c r="D31" s="139">
        <v>0.49</v>
      </c>
      <c r="E31" s="139">
        <v>6.36</v>
      </c>
      <c r="F31" s="139">
        <v>0</v>
      </c>
      <c r="G31" s="139">
        <v>0</v>
      </c>
      <c r="H31" s="139">
        <v>4229.9110000000001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4488.8510000000006</v>
      </c>
    </row>
    <row r="32" spans="1:21" ht="38.25" customHeight="1" x14ac:dyDescent="0.35">
      <c r="A32" s="171">
        <v>20</v>
      </c>
      <c r="B32" s="172" t="s">
        <v>102</v>
      </c>
      <c r="C32" s="139">
        <v>2582.8858</v>
      </c>
      <c r="D32" s="139">
        <v>1.1200000000000001</v>
      </c>
      <c r="E32" s="139">
        <v>6.69</v>
      </c>
      <c r="F32" s="139">
        <v>0</v>
      </c>
      <c r="G32" s="139">
        <v>0</v>
      </c>
      <c r="H32" s="139">
        <v>2584.0057999999999</v>
      </c>
      <c r="I32" s="139">
        <v>184.88600000000005</v>
      </c>
      <c r="J32" s="139">
        <v>0.56000000000000005</v>
      </c>
      <c r="K32" s="139">
        <v>3.3849999999999998</v>
      </c>
      <c r="L32" s="139">
        <v>0</v>
      </c>
      <c r="M32" s="139">
        <v>0</v>
      </c>
      <c r="N32" s="139">
        <v>185.44600000000005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2790.2437999999997</v>
      </c>
    </row>
    <row r="33" spans="1:21" s="111" customFormat="1" ht="38.25" customHeight="1" x14ac:dyDescent="0.4">
      <c r="A33" s="310" t="s">
        <v>99</v>
      </c>
      <c r="B33" s="310"/>
      <c r="C33" s="141">
        <v>11608.675800000001</v>
      </c>
      <c r="D33" s="141">
        <v>8.75</v>
      </c>
      <c r="E33" s="141">
        <v>30.570000000000004</v>
      </c>
      <c r="F33" s="141">
        <v>0</v>
      </c>
      <c r="G33" s="141">
        <v>0</v>
      </c>
      <c r="H33" s="141">
        <v>11617.425800000001</v>
      </c>
      <c r="I33" s="141">
        <v>403.63300000000004</v>
      </c>
      <c r="J33" s="141">
        <v>0.56000000000000005</v>
      </c>
      <c r="K33" s="141">
        <v>3.665</v>
      </c>
      <c r="L33" s="141">
        <v>0</v>
      </c>
      <c r="M33" s="141">
        <v>0</v>
      </c>
      <c r="N33" s="141">
        <v>404.1930000000001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12258.5308</v>
      </c>
    </row>
    <row r="34" spans="1:21" ht="38.25" customHeight="1" x14ac:dyDescent="0.35">
      <c r="A34" s="171">
        <v>21</v>
      </c>
      <c r="B34" s="172" t="s">
        <v>103</v>
      </c>
      <c r="C34" s="139">
        <v>4374.0800000000008</v>
      </c>
      <c r="D34" s="139">
        <v>0.25</v>
      </c>
      <c r="E34" s="139">
        <v>2.04</v>
      </c>
      <c r="F34" s="139">
        <v>0</v>
      </c>
      <c r="G34" s="139">
        <v>0</v>
      </c>
      <c r="H34" s="139">
        <v>4374.3300000000008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4383.7300000000005</v>
      </c>
    </row>
    <row r="35" spans="1:21" ht="38.25" customHeight="1" x14ac:dyDescent="0.35">
      <c r="A35" s="171">
        <v>22</v>
      </c>
      <c r="B35" s="172" t="s">
        <v>104</v>
      </c>
      <c r="C35" s="139">
        <v>5901.8199999999988</v>
      </c>
      <c r="D35" s="139">
        <v>9.4499999999999993</v>
      </c>
      <c r="E35" s="139">
        <v>24.65</v>
      </c>
      <c r="F35" s="139">
        <v>0</v>
      </c>
      <c r="G35" s="139">
        <v>0</v>
      </c>
      <c r="H35" s="139">
        <v>5911.2699999999986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5915.2999999999984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2950.4199999999996</v>
      </c>
      <c r="D36" s="139">
        <v>11.6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4717.8399999999983</v>
      </c>
      <c r="D37" s="139">
        <v>1.83</v>
      </c>
      <c r="E37" s="139">
        <v>18.229999999999997</v>
      </c>
      <c r="F37" s="139">
        <v>0</v>
      </c>
      <c r="G37" s="139">
        <v>0</v>
      </c>
      <c r="H37" s="139">
        <v>4719.6699999999983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4727.6299999999983</v>
      </c>
    </row>
    <row r="38" spans="1:21" s="111" customFormat="1" ht="38.25" customHeight="1" x14ac:dyDescent="0.4">
      <c r="A38" s="310" t="s">
        <v>107</v>
      </c>
      <c r="B38" s="310"/>
      <c r="C38" s="141">
        <v>17944.159999999996</v>
      </c>
      <c r="D38" s="141">
        <v>23.129999999999995</v>
      </c>
      <c r="E38" s="141">
        <v>71.77</v>
      </c>
      <c r="F38" s="141">
        <v>0</v>
      </c>
      <c r="G38" s="141">
        <v>0</v>
      </c>
      <c r="H38" s="141">
        <v>17967.289999999997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18146.529999999995</v>
      </c>
    </row>
    <row r="39" spans="1:21" s="145" customFormat="1" ht="38.25" customHeight="1" x14ac:dyDescent="0.4">
      <c r="A39" s="310" t="s">
        <v>108</v>
      </c>
      <c r="B39" s="310"/>
      <c r="C39" s="141">
        <v>42452.602799999993</v>
      </c>
      <c r="D39" s="141">
        <v>60.444999999999993</v>
      </c>
      <c r="E39" s="141">
        <v>161.52500000000001</v>
      </c>
      <c r="F39" s="141">
        <v>0</v>
      </c>
      <c r="G39" s="141">
        <v>0</v>
      </c>
      <c r="H39" s="141">
        <v>42513.0478</v>
      </c>
      <c r="I39" s="141">
        <v>1197.2110000000002</v>
      </c>
      <c r="J39" s="141">
        <v>1.96</v>
      </c>
      <c r="K39" s="141">
        <v>7.625</v>
      </c>
      <c r="L39" s="141">
        <v>0</v>
      </c>
      <c r="M39" s="141">
        <v>0</v>
      </c>
      <c r="N39" s="141">
        <v>1199.1710000000003</v>
      </c>
      <c r="O39" s="141">
        <v>258.12200000000001</v>
      </c>
      <c r="P39" s="141">
        <v>1.31</v>
      </c>
      <c r="Q39" s="141">
        <v>1.3169999999999999</v>
      </c>
      <c r="R39" s="141">
        <v>0</v>
      </c>
      <c r="S39" s="141">
        <v>0</v>
      </c>
      <c r="T39" s="141">
        <v>259.43200000000002</v>
      </c>
      <c r="U39" s="141">
        <v>43971.650799999996</v>
      </c>
    </row>
    <row r="40" spans="1:21" ht="38.25" customHeight="1" x14ac:dyDescent="0.35">
      <c r="A40" s="171">
        <v>25</v>
      </c>
      <c r="B40" s="172" t="s">
        <v>109</v>
      </c>
      <c r="C40" s="139">
        <v>11043.303999999998</v>
      </c>
      <c r="D40" s="139">
        <v>36.630000000000003</v>
      </c>
      <c r="E40" s="139">
        <v>85.074000000000012</v>
      </c>
      <c r="F40" s="139">
        <v>0</v>
      </c>
      <c r="G40" s="139">
        <v>0</v>
      </c>
      <c r="H40" s="139">
        <v>11079.933999999997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11079.933999999997</v>
      </c>
    </row>
    <row r="41" spans="1:21" ht="38.25" customHeight="1" x14ac:dyDescent="0.35">
      <c r="A41" s="171">
        <v>26</v>
      </c>
      <c r="B41" s="172" t="s">
        <v>110</v>
      </c>
      <c r="C41" s="139">
        <v>7085.6339999999946</v>
      </c>
      <c r="D41" s="139">
        <v>19.14</v>
      </c>
      <c r="E41" s="139">
        <v>33.088000000000001</v>
      </c>
      <c r="F41" s="139">
        <v>0</v>
      </c>
      <c r="G41" s="139">
        <v>0</v>
      </c>
      <c r="H41" s="139">
        <v>7104.7739999999949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7104.7739999999949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13570.868999999997</v>
      </c>
      <c r="D42" s="139">
        <v>10.210000000000001</v>
      </c>
      <c r="E42" s="139">
        <v>66.962999999999994</v>
      </c>
      <c r="F42" s="139">
        <v>0</v>
      </c>
      <c r="G42" s="139">
        <v>0</v>
      </c>
      <c r="H42" s="139">
        <v>13581.078999999996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13581.078999999996</v>
      </c>
    </row>
    <row r="43" spans="1:21" ht="38.25" customHeight="1" x14ac:dyDescent="0.35">
      <c r="A43" s="171">
        <v>28</v>
      </c>
      <c r="B43" s="172" t="s">
        <v>112</v>
      </c>
      <c r="C43" s="139">
        <v>988.20000000000027</v>
      </c>
      <c r="D43" s="139">
        <v>16.38</v>
      </c>
      <c r="E43" s="139">
        <v>33.001999999999995</v>
      </c>
      <c r="F43" s="139">
        <v>0</v>
      </c>
      <c r="G43" s="139">
        <v>0</v>
      </c>
      <c r="H43" s="139">
        <v>1004.5800000000003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1004.5800000000003</v>
      </c>
    </row>
    <row r="44" spans="1:21" s="111" customFormat="1" ht="38.25" customHeight="1" x14ac:dyDescent="0.4">
      <c r="A44" s="310" t="s">
        <v>109</v>
      </c>
      <c r="B44" s="310"/>
      <c r="C44" s="141">
        <v>32688.006999999994</v>
      </c>
      <c r="D44" s="141">
        <v>82.36</v>
      </c>
      <c r="E44" s="141">
        <v>218.12700000000001</v>
      </c>
      <c r="F44" s="141">
        <v>0</v>
      </c>
      <c r="G44" s="141">
        <v>0</v>
      </c>
      <c r="H44" s="141">
        <v>32770.366999999991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32770.366999999991</v>
      </c>
    </row>
    <row r="45" spans="1:21" ht="38.25" customHeight="1" x14ac:dyDescent="0.35">
      <c r="A45" s="171">
        <v>29</v>
      </c>
      <c r="B45" s="172" t="s">
        <v>113</v>
      </c>
      <c r="C45" s="139">
        <v>8065.5521000000008</v>
      </c>
      <c r="D45" s="139">
        <v>1.65</v>
      </c>
      <c r="E45" s="139">
        <v>18.759999999999998</v>
      </c>
      <c r="F45" s="139">
        <v>0</v>
      </c>
      <c r="G45" s="139">
        <v>0</v>
      </c>
      <c r="H45" s="139">
        <v>8067.2021000000004</v>
      </c>
      <c r="I45" s="139">
        <v>0.8600000000000001</v>
      </c>
      <c r="J45" s="139">
        <v>0</v>
      </c>
      <c r="K45" s="139">
        <v>0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8082.4921000000004</v>
      </c>
    </row>
    <row r="46" spans="1:21" ht="38.25" customHeight="1" x14ac:dyDescent="0.35">
      <c r="A46" s="171">
        <v>30</v>
      </c>
      <c r="B46" s="172" t="s">
        <v>114</v>
      </c>
      <c r="C46" s="139">
        <v>7696.1550000000007</v>
      </c>
      <c r="D46" s="139">
        <v>20.64</v>
      </c>
      <c r="E46" s="139">
        <v>49.67</v>
      </c>
      <c r="F46" s="139">
        <v>0</v>
      </c>
      <c r="G46" s="139">
        <v>0</v>
      </c>
      <c r="H46" s="139">
        <v>7716.795000000001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7717.755000000001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8406.1200000000008</v>
      </c>
      <c r="D47" s="139">
        <v>20.09</v>
      </c>
      <c r="E47" s="139">
        <v>27.78</v>
      </c>
      <c r="F47" s="139">
        <v>0</v>
      </c>
      <c r="G47" s="139">
        <v>0</v>
      </c>
      <c r="H47" s="139">
        <v>8426.2100000000009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8433.130000000001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7571.2290000000003</v>
      </c>
      <c r="D48" s="139">
        <v>43.61</v>
      </c>
      <c r="E48" s="139">
        <v>112.809</v>
      </c>
      <c r="F48" s="139">
        <v>0</v>
      </c>
      <c r="G48" s="139">
        <v>0</v>
      </c>
      <c r="H48" s="139">
        <v>7614.8389999999999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7615.3440000000001</v>
      </c>
    </row>
    <row r="49" spans="1:21" s="111" customFormat="1" ht="38.25" customHeight="1" x14ac:dyDescent="0.4">
      <c r="A49" s="310" t="s">
        <v>117</v>
      </c>
      <c r="B49" s="310"/>
      <c r="C49" s="141">
        <v>31739.056100000002</v>
      </c>
      <c r="D49" s="141">
        <v>85.99</v>
      </c>
      <c r="E49" s="141">
        <v>209.01900000000001</v>
      </c>
      <c r="F49" s="141">
        <v>0</v>
      </c>
      <c r="G49" s="141">
        <v>0</v>
      </c>
      <c r="H49" s="141">
        <v>31825.0461</v>
      </c>
      <c r="I49" s="141">
        <v>9.2149999999999999</v>
      </c>
      <c r="J49" s="141">
        <v>0</v>
      </c>
      <c r="K49" s="141">
        <v>0</v>
      </c>
      <c r="L49" s="141">
        <v>0</v>
      </c>
      <c r="M49" s="141">
        <v>0</v>
      </c>
      <c r="N49" s="141">
        <v>9.2149999999999999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31848.721100000002</v>
      </c>
    </row>
    <row r="50" spans="1:21" s="145" customFormat="1" ht="38.25" customHeight="1" x14ac:dyDescent="0.4">
      <c r="A50" s="310" t="s">
        <v>118</v>
      </c>
      <c r="B50" s="310"/>
      <c r="C50" s="141">
        <v>64427.063099999999</v>
      </c>
      <c r="D50" s="141">
        <v>168.35</v>
      </c>
      <c r="E50" s="141">
        <v>427.14600000000002</v>
      </c>
      <c r="F50" s="141">
        <v>0</v>
      </c>
      <c r="G50" s="141">
        <v>0</v>
      </c>
      <c r="H50" s="141">
        <v>64595.413099999991</v>
      </c>
      <c r="I50" s="141">
        <v>9.2149999999999999</v>
      </c>
      <c r="J50" s="141">
        <v>0</v>
      </c>
      <c r="K50" s="141">
        <v>0</v>
      </c>
      <c r="L50" s="141">
        <v>0</v>
      </c>
      <c r="M50" s="141">
        <v>0</v>
      </c>
      <c r="N50" s="141">
        <v>9.2149999999999999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64619.088099999994</v>
      </c>
    </row>
    <row r="51" spans="1:21" s="146" customFormat="1" ht="38.25" customHeight="1" x14ac:dyDescent="0.4">
      <c r="A51" s="310" t="s">
        <v>119</v>
      </c>
      <c r="B51" s="310"/>
      <c r="C51" s="141">
        <v>112463.73189999998</v>
      </c>
      <c r="D51" s="141">
        <v>231.79499999999999</v>
      </c>
      <c r="E51" s="141">
        <v>598.15100000000007</v>
      </c>
      <c r="F51" s="141">
        <v>108.66799999999999</v>
      </c>
      <c r="G51" s="141">
        <v>144.59799999999998</v>
      </c>
      <c r="H51" s="141">
        <v>112586.85889999999</v>
      </c>
      <c r="I51" s="141">
        <v>7043.3330000000014</v>
      </c>
      <c r="J51" s="141">
        <v>157.44800000000001</v>
      </c>
      <c r="K51" s="141">
        <v>276.32599999999996</v>
      </c>
      <c r="L51" s="141">
        <v>19.510000000000002</v>
      </c>
      <c r="M51" s="141">
        <v>19.510000000000002</v>
      </c>
      <c r="N51" s="141">
        <v>7181.2710000000006</v>
      </c>
      <c r="O51" s="141">
        <v>922.82399999999996</v>
      </c>
      <c r="P51" s="141">
        <v>3.2199999999999998</v>
      </c>
      <c r="Q51" s="141">
        <v>3.2269999999999999</v>
      </c>
      <c r="R51" s="141">
        <v>17.674999999999997</v>
      </c>
      <c r="S51" s="141">
        <v>19.554999999999996</v>
      </c>
      <c r="T51" s="141">
        <v>908.36899999999991</v>
      </c>
      <c r="U51" s="141">
        <v>120676.49890000001</v>
      </c>
    </row>
    <row r="52" spans="1:21" s="111" customFormat="1" ht="24" customHeight="1" x14ac:dyDescent="0.4">
      <c r="A52" s="115"/>
      <c r="B52" s="115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</row>
    <row r="53" spans="1:21" s="111" customFormat="1" ht="19.5" customHeight="1" x14ac:dyDescent="0.4">
      <c r="A53" s="115"/>
      <c r="B53" s="115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</row>
    <row r="54" spans="1:21" s="115" customFormat="1" ht="24.75" hidden="1" customHeight="1" x14ac:dyDescent="0.4">
      <c r="B54" s="188"/>
      <c r="C54" s="278" t="s">
        <v>54</v>
      </c>
      <c r="D54" s="278"/>
      <c r="E54" s="278"/>
      <c r="F54" s="278"/>
      <c r="G54" s="278"/>
      <c r="H54" s="118"/>
      <c r="I54" s="188"/>
      <c r="J54" s="188">
        <f>D51+J51+P51-F51-L51-R51</f>
        <v>246.61</v>
      </c>
      <c r="K54" s="188"/>
      <c r="L54" s="188"/>
      <c r="M54" s="188"/>
      <c r="N54" s="188"/>
      <c r="R54" s="188"/>
      <c r="U54" s="188"/>
    </row>
    <row r="55" spans="1:21" s="115" customFormat="1" ht="30" hidden="1" customHeight="1" x14ac:dyDescent="0.35">
      <c r="B55" s="188"/>
      <c r="C55" s="278" t="s">
        <v>55</v>
      </c>
      <c r="D55" s="278"/>
      <c r="E55" s="278"/>
      <c r="F55" s="278"/>
      <c r="G55" s="278"/>
      <c r="H55" s="119"/>
      <c r="I55" s="188"/>
      <c r="J55" s="188">
        <f>E51+K51+Q51-G51-M51-S51</f>
        <v>694.04100000000017</v>
      </c>
      <c r="K55" s="188"/>
      <c r="L55" s="188"/>
      <c r="M55" s="188"/>
      <c r="N55" s="188"/>
      <c r="R55" s="188"/>
      <c r="T55" s="188"/>
    </row>
    <row r="56" spans="1:21" ht="33" hidden="1" customHeight="1" x14ac:dyDescent="0.5">
      <c r="C56" s="278" t="s">
        <v>56</v>
      </c>
      <c r="D56" s="278"/>
      <c r="E56" s="278"/>
      <c r="F56" s="278"/>
      <c r="G56" s="278"/>
      <c r="H56" s="119"/>
      <c r="I56" s="121"/>
      <c r="J56" s="188">
        <f>H51+N51+T51</f>
        <v>120676.49890000001</v>
      </c>
      <c r="K56" s="119"/>
      <c r="L56" s="119"/>
      <c r="M56" s="142" t="e">
        <f>#REF!+'June-2021'!J54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88"/>
      <c r="E57" s="188"/>
      <c r="F57" s="188"/>
      <c r="G57" s="188"/>
      <c r="H57" s="119"/>
      <c r="I57" s="121"/>
      <c r="J57" s="188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88"/>
      <c r="E58" s="188"/>
      <c r="F58" s="188"/>
      <c r="G58" s="188"/>
      <c r="H58" s="119"/>
      <c r="I58" s="121"/>
      <c r="J58" s="188"/>
      <c r="K58" s="119"/>
      <c r="L58" s="119"/>
      <c r="M58" s="142" t="e">
        <f>#REF!+'June-2021'!J54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87" t="s">
        <v>57</v>
      </c>
      <c r="C59" s="287"/>
      <c r="D59" s="287"/>
      <c r="E59" s="287"/>
      <c r="F59" s="287"/>
      <c r="G59" s="153"/>
      <c r="H59" s="154"/>
      <c r="I59" s="155"/>
      <c r="J59" s="288"/>
      <c r="K59" s="286"/>
      <c r="L59" s="286"/>
      <c r="M59" s="169" t="e">
        <f>#REF!+'June-2021'!J54</f>
        <v>#REF!</v>
      </c>
      <c r="N59" s="154"/>
      <c r="O59" s="154"/>
      <c r="P59" s="191"/>
      <c r="Q59" s="287" t="s">
        <v>58</v>
      </c>
      <c r="R59" s="287"/>
      <c r="S59" s="287"/>
      <c r="T59" s="287"/>
      <c r="U59" s="287"/>
    </row>
    <row r="60" spans="1:21" s="152" customFormat="1" ht="37.5" hidden="1" customHeight="1" x14ac:dyDescent="0.45">
      <c r="B60" s="287" t="s">
        <v>59</v>
      </c>
      <c r="C60" s="287"/>
      <c r="D60" s="287"/>
      <c r="E60" s="287"/>
      <c r="F60" s="287"/>
      <c r="G60" s="154"/>
      <c r="H60" s="153"/>
      <c r="I60" s="156"/>
      <c r="J60" s="157"/>
      <c r="K60" s="190"/>
      <c r="L60" s="157"/>
      <c r="M60" s="154"/>
      <c r="N60" s="153"/>
      <c r="O60" s="154"/>
      <c r="P60" s="191"/>
      <c r="Q60" s="287" t="s">
        <v>59</v>
      </c>
      <c r="R60" s="287"/>
      <c r="S60" s="287"/>
      <c r="T60" s="287"/>
      <c r="U60" s="287"/>
    </row>
    <row r="61" spans="1:21" s="152" customFormat="1" ht="37.5" hidden="1" customHeight="1" x14ac:dyDescent="0.45">
      <c r="I61" s="158"/>
      <c r="J61" s="286" t="s">
        <v>61</v>
      </c>
      <c r="K61" s="286"/>
      <c r="L61" s="286"/>
      <c r="M61" s="159" t="e">
        <f>#REF!+'June-2021'!J54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#REF!+'June-2021'!J54</f>
        <v>#REF!</v>
      </c>
      <c r="I62" s="158"/>
      <c r="J62" s="286" t="s">
        <v>62</v>
      </c>
      <c r="K62" s="286"/>
      <c r="L62" s="286"/>
      <c r="M62" s="159" t="e">
        <f>#REF!+'June-2021'!J54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topLeftCell="H1" zoomScale="48" zoomScaleNormal="48" workbookViewId="0">
      <pane ySplit="6" topLeftCell="A46" activePane="bottomLeft" state="frozen"/>
      <selection pane="bottomLeft" activeCell="A2" sqref="A2:U2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136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02" t="s">
        <v>122</v>
      </c>
      <c r="B4" s="305" t="s">
        <v>121</v>
      </c>
      <c r="C4" s="281" t="s">
        <v>131</v>
      </c>
      <c r="D4" s="282"/>
      <c r="E4" s="282"/>
      <c r="F4" s="282"/>
      <c r="G4" s="282"/>
      <c r="H4" s="282"/>
      <c r="I4" s="281" t="s">
        <v>130</v>
      </c>
      <c r="J4" s="282"/>
      <c r="K4" s="282"/>
      <c r="L4" s="282"/>
      <c r="M4" s="282"/>
      <c r="N4" s="282"/>
      <c r="O4" s="281" t="s">
        <v>129</v>
      </c>
      <c r="P4" s="282"/>
      <c r="Q4" s="282"/>
      <c r="R4" s="282"/>
      <c r="S4" s="282"/>
      <c r="T4" s="282"/>
      <c r="U4" s="193"/>
    </row>
    <row r="5" spans="1:21" s="108" customFormat="1" ht="54.75" customHeight="1" x14ac:dyDescent="0.25">
      <c r="A5" s="304"/>
      <c r="B5" s="306"/>
      <c r="C5" s="291" t="s">
        <v>6</v>
      </c>
      <c r="D5" s="289" t="s">
        <v>127</v>
      </c>
      <c r="E5" s="290"/>
      <c r="F5" s="289" t="s">
        <v>126</v>
      </c>
      <c r="G5" s="290"/>
      <c r="H5" s="291" t="s">
        <v>9</v>
      </c>
      <c r="I5" s="291" t="s">
        <v>6</v>
      </c>
      <c r="J5" s="289" t="s">
        <v>127</v>
      </c>
      <c r="K5" s="290"/>
      <c r="L5" s="289" t="s">
        <v>126</v>
      </c>
      <c r="M5" s="290"/>
      <c r="N5" s="291" t="s">
        <v>9</v>
      </c>
      <c r="O5" s="291" t="s">
        <v>6</v>
      </c>
      <c r="P5" s="289" t="s">
        <v>127</v>
      </c>
      <c r="Q5" s="290"/>
      <c r="R5" s="289" t="s">
        <v>126</v>
      </c>
      <c r="S5" s="290"/>
      <c r="T5" s="291" t="s">
        <v>9</v>
      </c>
      <c r="U5" s="305" t="s">
        <v>128</v>
      </c>
    </row>
    <row r="6" spans="1:21" s="108" customFormat="1" ht="38.25" customHeight="1" x14ac:dyDescent="0.25">
      <c r="A6" s="304"/>
      <c r="B6" s="307"/>
      <c r="C6" s="292"/>
      <c r="D6" s="172" t="s">
        <v>124</v>
      </c>
      <c r="E6" s="172" t="s">
        <v>125</v>
      </c>
      <c r="F6" s="172" t="s">
        <v>124</v>
      </c>
      <c r="G6" s="172" t="s">
        <v>125</v>
      </c>
      <c r="H6" s="292"/>
      <c r="I6" s="292"/>
      <c r="J6" s="172" t="s">
        <v>124</v>
      </c>
      <c r="K6" s="172" t="s">
        <v>125</v>
      </c>
      <c r="L6" s="172" t="s">
        <v>124</v>
      </c>
      <c r="M6" s="172" t="s">
        <v>125</v>
      </c>
      <c r="N6" s="292"/>
      <c r="O6" s="292"/>
      <c r="P6" s="172" t="s">
        <v>124</v>
      </c>
      <c r="Q6" s="172" t="s">
        <v>125</v>
      </c>
      <c r="R6" s="172" t="s">
        <v>124</v>
      </c>
      <c r="S6" s="172" t="s">
        <v>125</v>
      </c>
      <c r="T6" s="292"/>
      <c r="U6" s="307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559.25799999999981</v>
      </c>
      <c r="J7" s="139">
        <v>27.78</v>
      </c>
      <c r="K7" s="139">
        <v>35.983000000000004</v>
      </c>
      <c r="L7" s="139">
        <v>0</v>
      </c>
      <c r="M7" s="139">
        <v>0</v>
      </c>
      <c r="N7" s="139">
        <v>587.03799999999978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1108.0699999999995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82.698000000000022</v>
      </c>
      <c r="J8" s="139">
        <v>2.806</v>
      </c>
      <c r="K8" s="139">
        <v>6.8339999999999996</v>
      </c>
      <c r="L8" s="139">
        <v>0</v>
      </c>
      <c r="M8" s="139">
        <v>0</v>
      </c>
      <c r="N8" s="139">
        <v>85.504000000000019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91.049000000000021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539.10800000000006</v>
      </c>
      <c r="J9" s="139">
        <v>1.31</v>
      </c>
      <c r="K9" s="139">
        <v>4.68</v>
      </c>
      <c r="L9" s="139">
        <v>0</v>
      </c>
      <c r="M9" s="139">
        <v>0</v>
      </c>
      <c r="N9" s="139">
        <v>540.41800000000001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893.98800000000006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482.66499999999996</v>
      </c>
      <c r="J10" s="139">
        <v>0.05</v>
      </c>
      <c r="K10" s="139">
        <v>2.3199999999999998</v>
      </c>
      <c r="L10" s="139">
        <v>0</v>
      </c>
      <c r="M10" s="139">
        <v>0</v>
      </c>
      <c r="N10" s="139">
        <v>482.71499999999997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490.875</v>
      </c>
    </row>
    <row r="11" spans="1:21" s="111" customFormat="1" ht="38.25" customHeight="1" x14ac:dyDescent="0.4">
      <c r="A11" s="308" t="s">
        <v>82</v>
      </c>
      <c r="B11" s="309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1663.7289999999998</v>
      </c>
      <c r="J11" s="141">
        <v>31.946000000000002</v>
      </c>
      <c r="K11" s="141">
        <v>49.817000000000007</v>
      </c>
      <c r="L11" s="141">
        <v>0</v>
      </c>
      <c r="M11" s="141">
        <v>0</v>
      </c>
      <c r="N11" s="141">
        <v>1695.6749999999997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2583.9819999999995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784.13499999999988</v>
      </c>
      <c r="J12" s="139">
        <v>0.92</v>
      </c>
      <c r="K12" s="139">
        <v>63.015000000000001</v>
      </c>
      <c r="L12" s="139">
        <v>0</v>
      </c>
      <c r="M12" s="139">
        <v>0</v>
      </c>
      <c r="N12" s="139">
        <v>785.05499999999984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1362.6849999999995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521.78200000000027</v>
      </c>
      <c r="J13" s="139">
        <v>0.8</v>
      </c>
      <c r="K13" s="139">
        <v>1.6819999999999999</v>
      </c>
      <c r="L13" s="139">
        <v>0</v>
      </c>
      <c r="M13" s="139">
        <v>0</v>
      </c>
      <c r="N13" s="139">
        <v>522.58200000000022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859.69200000000035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854.56800000000021</v>
      </c>
      <c r="J14" s="139">
        <v>3.5</v>
      </c>
      <c r="K14" s="139">
        <v>29.667999999999999</v>
      </c>
      <c r="L14" s="139">
        <v>0</v>
      </c>
      <c r="M14" s="139">
        <v>0</v>
      </c>
      <c r="N14" s="139">
        <v>858.06800000000021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2193.7279999999996</v>
      </c>
    </row>
    <row r="15" spans="1:21" s="111" customFormat="1" ht="38.25" customHeight="1" x14ac:dyDescent="0.4">
      <c r="A15" s="308" t="s">
        <v>86</v>
      </c>
      <c r="B15" s="309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2160.4850000000006</v>
      </c>
      <c r="J15" s="141">
        <v>5.2200000000000006</v>
      </c>
      <c r="K15" s="141">
        <v>94.365000000000009</v>
      </c>
      <c r="L15" s="141">
        <v>0</v>
      </c>
      <c r="M15" s="141">
        <v>0</v>
      </c>
      <c r="N15" s="141">
        <v>2165.7050000000004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4416.1049999999996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1025.2340000000004</v>
      </c>
      <c r="D16" s="139">
        <v>0.17</v>
      </c>
      <c r="E16" s="139">
        <v>0.61</v>
      </c>
      <c r="F16" s="139">
        <v>37.229999999999997</v>
      </c>
      <c r="G16" s="139">
        <v>37.229999999999997</v>
      </c>
      <c r="H16" s="139">
        <v>988.17400000000043</v>
      </c>
      <c r="I16" s="139">
        <v>111.76599999999998</v>
      </c>
      <c r="J16" s="139">
        <v>37.26</v>
      </c>
      <c r="K16" s="139">
        <v>38.254999999999995</v>
      </c>
      <c r="L16" s="139">
        <v>0</v>
      </c>
      <c r="M16" s="139">
        <v>0</v>
      </c>
      <c r="N16" s="139">
        <v>149.02599999999998</v>
      </c>
      <c r="O16" s="139">
        <v>245.90200000000002</v>
      </c>
      <c r="P16" s="139">
        <v>0</v>
      </c>
      <c r="Q16" s="139">
        <v>0</v>
      </c>
      <c r="R16" s="139">
        <v>0</v>
      </c>
      <c r="S16" s="139">
        <v>0</v>
      </c>
      <c r="T16" s="139">
        <v>245.90200000000002</v>
      </c>
      <c r="U16" s="139">
        <v>1383.1020000000005</v>
      </c>
    </row>
    <row r="17" spans="1:21" ht="38.25" customHeight="1" x14ac:dyDescent="0.35">
      <c r="A17" s="171">
        <v>9</v>
      </c>
      <c r="B17" s="172" t="s">
        <v>120</v>
      </c>
      <c r="C17" s="139">
        <v>144.09599999999995</v>
      </c>
      <c r="D17" s="174">
        <v>0</v>
      </c>
      <c r="E17" s="139">
        <v>0</v>
      </c>
      <c r="F17" s="174">
        <v>0</v>
      </c>
      <c r="G17" s="139">
        <v>39.729999999999997</v>
      </c>
      <c r="H17" s="139">
        <v>144.09599999999995</v>
      </c>
      <c r="I17" s="139">
        <v>363.66000000000014</v>
      </c>
      <c r="J17" s="174">
        <v>2.0499999999999998</v>
      </c>
      <c r="K17" s="139">
        <v>24.970000000000002</v>
      </c>
      <c r="L17" s="174">
        <v>0</v>
      </c>
      <c r="M17" s="139">
        <v>0</v>
      </c>
      <c r="N17" s="139">
        <v>365.71000000000015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572.54600000000005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210.70600000000007</v>
      </c>
      <c r="D18" s="139">
        <v>0.06</v>
      </c>
      <c r="E18" s="139">
        <v>0.21</v>
      </c>
      <c r="F18" s="139">
        <v>0</v>
      </c>
      <c r="G18" s="139">
        <v>0</v>
      </c>
      <c r="H18" s="139">
        <v>210.76600000000008</v>
      </c>
      <c r="I18" s="139">
        <v>347.75699999999995</v>
      </c>
      <c r="J18" s="139">
        <v>0.37</v>
      </c>
      <c r="K18" s="139">
        <v>1.92</v>
      </c>
      <c r="L18" s="139">
        <v>0</v>
      </c>
      <c r="M18" s="139">
        <v>0</v>
      </c>
      <c r="N18" s="139">
        <v>348.12699999999995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567.26800000000003</v>
      </c>
    </row>
    <row r="19" spans="1:21" s="111" customFormat="1" ht="38.25" customHeight="1" x14ac:dyDescent="0.4">
      <c r="A19" s="308" t="s">
        <v>89</v>
      </c>
      <c r="B19" s="309"/>
      <c r="C19" s="141">
        <v>1380.0360000000005</v>
      </c>
      <c r="D19" s="141">
        <v>0.23</v>
      </c>
      <c r="E19" s="141">
        <v>0.82</v>
      </c>
      <c r="F19" s="141">
        <v>37.229999999999997</v>
      </c>
      <c r="G19" s="141">
        <v>76.959999999999994</v>
      </c>
      <c r="H19" s="141">
        <v>1343.0360000000005</v>
      </c>
      <c r="I19" s="141">
        <v>823.18299999999999</v>
      </c>
      <c r="J19" s="141">
        <v>39.679999999999993</v>
      </c>
      <c r="K19" s="141">
        <v>65.144999999999996</v>
      </c>
      <c r="L19" s="141">
        <v>0</v>
      </c>
      <c r="M19" s="141">
        <v>0</v>
      </c>
      <c r="N19" s="141">
        <v>862.86300000000006</v>
      </c>
      <c r="O19" s="141">
        <v>317.017</v>
      </c>
      <c r="P19" s="141">
        <v>0</v>
      </c>
      <c r="Q19" s="141">
        <v>0.03</v>
      </c>
      <c r="R19" s="141">
        <v>0</v>
      </c>
      <c r="S19" s="141">
        <v>1.665</v>
      </c>
      <c r="T19" s="141">
        <v>317.017</v>
      </c>
      <c r="U19" s="141">
        <v>2522.9160000000006</v>
      </c>
    </row>
    <row r="20" spans="1:21" ht="38.25" customHeight="1" x14ac:dyDescent="0.35">
      <c r="A20" s="171">
        <v>8</v>
      </c>
      <c r="B20" s="172" t="s">
        <v>91</v>
      </c>
      <c r="C20" s="139">
        <v>641.3599999999999</v>
      </c>
      <c r="D20" s="139">
        <v>0.66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391.61000000000007</v>
      </c>
      <c r="J20" s="139">
        <v>0.99</v>
      </c>
      <c r="K20" s="139">
        <v>2.59</v>
      </c>
      <c r="L20" s="139">
        <v>0</v>
      </c>
      <c r="M20" s="139">
        <v>0</v>
      </c>
      <c r="N20" s="139">
        <v>392.60000000000008</v>
      </c>
      <c r="O20" s="139">
        <v>40.220000000000006</v>
      </c>
      <c r="P20" s="139">
        <v>0.15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1074.9899999999998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413.35300000000001</v>
      </c>
      <c r="J21" s="139">
        <v>0.53</v>
      </c>
      <c r="K21" s="139">
        <v>25.380000000000003</v>
      </c>
      <c r="L21" s="139">
        <v>0</v>
      </c>
      <c r="M21" s="139">
        <v>0</v>
      </c>
      <c r="N21" s="139">
        <v>413.88299999999998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444.00299999999999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438.96500000000003</v>
      </c>
      <c r="J22" s="139">
        <v>0.81499999999999995</v>
      </c>
      <c r="K22" s="139">
        <v>105.825</v>
      </c>
      <c r="L22" s="139">
        <v>0</v>
      </c>
      <c r="M22" s="139">
        <v>19.510000000000002</v>
      </c>
      <c r="N22" s="139">
        <v>439.78000000000003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557.48000000000013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428.47499999999985</v>
      </c>
      <c r="D23" s="139">
        <v>1.01</v>
      </c>
      <c r="E23" s="139">
        <v>7.1899999999999995</v>
      </c>
      <c r="F23" s="139">
        <v>0</v>
      </c>
      <c r="G23" s="139">
        <v>0</v>
      </c>
      <c r="H23" s="139">
        <v>429.48499999999984</v>
      </c>
      <c r="I23" s="139">
        <v>81.559999999999988</v>
      </c>
      <c r="J23" s="139">
        <v>0</v>
      </c>
      <c r="K23" s="139">
        <v>4.76</v>
      </c>
      <c r="L23" s="139">
        <v>0</v>
      </c>
      <c r="M23" s="139">
        <v>0</v>
      </c>
      <c r="N23" s="139">
        <v>81.559999999999988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530.28499999999985</v>
      </c>
    </row>
    <row r="24" spans="1:21" s="111" customFormat="1" ht="38.25" customHeight="1" x14ac:dyDescent="0.4">
      <c r="A24" s="310" t="s">
        <v>94</v>
      </c>
      <c r="B24" s="310"/>
      <c r="C24" s="141">
        <v>1197.4949999999997</v>
      </c>
      <c r="D24" s="141">
        <v>1.67</v>
      </c>
      <c r="E24" s="141">
        <v>10.41</v>
      </c>
      <c r="F24" s="141">
        <v>0</v>
      </c>
      <c r="G24" s="141">
        <v>72.819999999999993</v>
      </c>
      <c r="H24" s="141">
        <v>1199.1649999999997</v>
      </c>
      <c r="I24" s="141">
        <v>1325.4880000000001</v>
      </c>
      <c r="J24" s="141">
        <v>2.335</v>
      </c>
      <c r="K24" s="141">
        <v>138.55500000000001</v>
      </c>
      <c r="L24" s="141">
        <v>0</v>
      </c>
      <c r="M24" s="141">
        <v>19.510000000000002</v>
      </c>
      <c r="N24" s="141">
        <v>1327.8230000000001</v>
      </c>
      <c r="O24" s="141">
        <v>79.62</v>
      </c>
      <c r="P24" s="141">
        <v>0.15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2606.7579999999998</v>
      </c>
    </row>
    <row r="25" spans="1:21" s="145" customFormat="1" ht="38.25" customHeight="1" x14ac:dyDescent="0.4">
      <c r="A25" s="311" t="s">
        <v>95</v>
      </c>
      <c r="B25" s="312"/>
      <c r="C25" s="141">
        <v>5478.3979999999983</v>
      </c>
      <c r="D25" s="141">
        <v>1.9</v>
      </c>
      <c r="E25" s="141">
        <v>11.38</v>
      </c>
      <c r="F25" s="141">
        <v>37.229999999999997</v>
      </c>
      <c r="G25" s="141">
        <v>181.82799999999997</v>
      </c>
      <c r="H25" s="141">
        <v>5443.0679999999984</v>
      </c>
      <c r="I25" s="141">
        <v>5972.8850000000002</v>
      </c>
      <c r="J25" s="141">
        <v>79.180999999999997</v>
      </c>
      <c r="K25" s="141">
        <v>347.88200000000001</v>
      </c>
      <c r="L25" s="141">
        <v>0</v>
      </c>
      <c r="M25" s="141">
        <v>19.510000000000002</v>
      </c>
      <c r="N25" s="141">
        <v>6052.0660000000007</v>
      </c>
      <c r="O25" s="141">
        <v>634.47699999999998</v>
      </c>
      <c r="P25" s="141">
        <v>0.15</v>
      </c>
      <c r="Q25" s="141">
        <v>2.06</v>
      </c>
      <c r="R25" s="141">
        <v>0</v>
      </c>
      <c r="S25" s="141">
        <v>19.554999999999996</v>
      </c>
      <c r="T25" s="141">
        <v>634.62699999999995</v>
      </c>
      <c r="U25" s="141">
        <v>12129.761</v>
      </c>
    </row>
    <row r="26" spans="1:21" ht="38.25" customHeight="1" x14ac:dyDescent="0.35">
      <c r="A26" s="171">
        <v>15</v>
      </c>
      <c r="B26" s="172" t="s">
        <v>96</v>
      </c>
      <c r="C26" s="139">
        <v>7437.7869999999994</v>
      </c>
      <c r="D26" s="139">
        <v>9.25</v>
      </c>
      <c r="E26" s="139">
        <v>46.39</v>
      </c>
      <c r="F26" s="139">
        <v>0</v>
      </c>
      <c r="G26" s="139">
        <v>0</v>
      </c>
      <c r="H26" s="139">
        <v>7447.0369999999994</v>
      </c>
      <c r="I26" s="139">
        <v>59.050000000000004</v>
      </c>
      <c r="J26" s="139">
        <v>7.0000000000000007E-2</v>
      </c>
      <c r="K26" s="139">
        <v>7.0000000000000007E-2</v>
      </c>
      <c r="L26" s="139">
        <v>0</v>
      </c>
      <c r="M26" s="139">
        <v>0</v>
      </c>
      <c r="N26" s="139">
        <v>59.120000000000005</v>
      </c>
      <c r="O26" s="139">
        <v>2.33</v>
      </c>
      <c r="P26" s="139">
        <v>1.31</v>
      </c>
      <c r="Q26" s="139">
        <v>2.62</v>
      </c>
      <c r="R26" s="139">
        <v>0</v>
      </c>
      <c r="S26" s="139">
        <v>0</v>
      </c>
      <c r="T26" s="139">
        <v>3.64</v>
      </c>
      <c r="U26" s="139">
        <v>7509.7969999999996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5490.545000000001</v>
      </c>
      <c r="D27" s="139">
        <v>6.42</v>
      </c>
      <c r="E27" s="139">
        <v>28.465000000000003</v>
      </c>
      <c r="F27" s="139">
        <v>0</v>
      </c>
      <c r="G27" s="139">
        <v>0</v>
      </c>
      <c r="H27" s="139">
        <v>5496.9650000000011</v>
      </c>
      <c r="I27" s="139">
        <v>559.95800000000008</v>
      </c>
      <c r="J27" s="139">
        <v>0.93</v>
      </c>
      <c r="K27" s="139">
        <v>4.8899999999999997</v>
      </c>
      <c r="L27" s="139">
        <v>0</v>
      </c>
      <c r="M27" s="139">
        <v>0</v>
      </c>
      <c r="N27" s="139">
        <v>560.88800000000003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6074.773000000001</v>
      </c>
    </row>
    <row r="28" spans="1:21" s="111" customFormat="1" ht="38.25" customHeight="1" x14ac:dyDescent="0.4">
      <c r="A28" s="310" t="s">
        <v>98</v>
      </c>
      <c r="B28" s="310"/>
      <c r="C28" s="141">
        <v>12928.332</v>
      </c>
      <c r="D28" s="141">
        <v>15.67</v>
      </c>
      <c r="E28" s="141">
        <v>74.855000000000004</v>
      </c>
      <c r="F28" s="141">
        <v>0</v>
      </c>
      <c r="G28" s="141">
        <v>0</v>
      </c>
      <c r="H28" s="141">
        <v>12944.002</v>
      </c>
      <c r="I28" s="141">
        <v>619.00800000000004</v>
      </c>
      <c r="J28" s="141">
        <v>1</v>
      </c>
      <c r="K28" s="141">
        <v>4.96</v>
      </c>
      <c r="L28" s="141">
        <v>0</v>
      </c>
      <c r="M28" s="141">
        <v>0</v>
      </c>
      <c r="N28" s="141">
        <v>620.00800000000004</v>
      </c>
      <c r="O28" s="141">
        <v>19.25</v>
      </c>
      <c r="P28" s="141">
        <v>1.31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13584.57</v>
      </c>
    </row>
    <row r="29" spans="1:21" ht="38.25" customHeight="1" x14ac:dyDescent="0.35">
      <c r="A29" s="171">
        <v>17</v>
      </c>
      <c r="B29" s="172" t="s">
        <v>99</v>
      </c>
      <c r="C29" s="139">
        <v>4395.4880000000003</v>
      </c>
      <c r="D29" s="139">
        <v>0.98</v>
      </c>
      <c r="E29" s="139">
        <v>13.391000000000002</v>
      </c>
      <c r="F29" s="139">
        <v>0</v>
      </c>
      <c r="G29" s="139">
        <v>0</v>
      </c>
      <c r="H29" s="139">
        <v>4396.4679999999998</v>
      </c>
      <c r="I29" s="139">
        <v>96.66</v>
      </c>
      <c r="J29" s="139">
        <v>23.95</v>
      </c>
      <c r="K29" s="139">
        <v>23.95</v>
      </c>
      <c r="L29" s="139">
        <v>0</v>
      </c>
      <c r="M29" s="139">
        <v>0</v>
      </c>
      <c r="N29" s="139">
        <v>120.61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4574.7979999999998</v>
      </c>
    </row>
    <row r="30" spans="1:21" ht="38.25" customHeight="1" x14ac:dyDescent="0.35">
      <c r="A30" s="171">
        <v>18</v>
      </c>
      <c r="B30" s="172" t="s">
        <v>100</v>
      </c>
      <c r="C30" s="139">
        <v>408.02099999999996</v>
      </c>
      <c r="D30" s="139">
        <v>20.9</v>
      </c>
      <c r="E30" s="139">
        <v>26.009</v>
      </c>
      <c r="F30" s="139">
        <v>0</v>
      </c>
      <c r="G30" s="139">
        <v>0</v>
      </c>
      <c r="H30" s="139">
        <v>428.92099999999994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450.46799999999996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4229.9110000000001</v>
      </c>
      <c r="D31" s="139">
        <v>4.8099999999999996</v>
      </c>
      <c r="E31" s="139">
        <v>11.17</v>
      </c>
      <c r="F31" s="139">
        <v>0</v>
      </c>
      <c r="G31" s="139">
        <v>0</v>
      </c>
      <c r="H31" s="139">
        <v>4234.7210000000005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4493.661000000001</v>
      </c>
    </row>
    <row r="32" spans="1:21" ht="38.25" customHeight="1" x14ac:dyDescent="0.35">
      <c r="A32" s="171">
        <v>20</v>
      </c>
      <c r="B32" s="172" t="s">
        <v>102</v>
      </c>
      <c r="C32" s="139">
        <v>2584.0057999999999</v>
      </c>
      <c r="D32" s="139">
        <v>0.86</v>
      </c>
      <c r="E32" s="139">
        <v>7.5500000000000007</v>
      </c>
      <c r="F32" s="139">
        <v>0</v>
      </c>
      <c r="G32" s="139">
        <v>0</v>
      </c>
      <c r="H32" s="139">
        <v>2584.8658</v>
      </c>
      <c r="I32" s="139">
        <v>185.44600000000005</v>
      </c>
      <c r="J32" s="139">
        <v>0.78</v>
      </c>
      <c r="K32" s="139">
        <v>4.165</v>
      </c>
      <c r="L32" s="139">
        <v>0</v>
      </c>
      <c r="M32" s="139">
        <v>0</v>
      </c>
      <c r="N32" s="139">
        <v>186.22600000000006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2791.8838000000001</v>
      </c>
    </row>
    <row r="33" spans="1:21" s="111" customFormat="1" ht="38.25" customHeight="1" x14ac:dyDescent="0.4">
      <c r="A33" s="310" t="s">
        <v>99</v>
      </c>
      <c r="B33" s="310"/>
      <c r="C33" s="141">
        <v>11617.425800000001</v>
      </c>
      <c r="D33" s="141">
        <v>27.549999999999997</v>
      </c>
      <c r="E33" s="141">
        <v>58.120000000000005</v>
      </c>
      <c r="F33" s="141">
        <v>0</v>
      </c>
      <c r="G33" s="141">
        <v>0</v>
      </c>
      <c r="H33" s="141">
        <v>11644.9758</v>
      </c>
      <c r="I33" s="141">
        <v>404.1930000000001</v>
      </c>
      <c r="J33" s="141">
        <v>24.73</v>
      </c>
      <c r="K33" s="141">
        <v>28.395</v>
      </c>
      <c r="L33" s="141">
        <v>0</v>
      </c>
      <c r="M33" s="141">
        <v>0</v>
      </c>
      <c r="N33" s="141">
        <v>428.92300000000006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12310.810799999999</v>
      </c>
    </row>
    <row r="34" spans="1:21" ht="38.25" customHeight="1" x14ac:dyDescent="0.35">
      <c r="A34" s="171">
        <v>21</v>
      </c>
      <c r="B34" s="172" t="s">
        <v>103</v>
      </c>
      <c r="C34" s="139">
        <v>4374.3300000000008</v>
      </c>
      <c r="D34" s="139">
        <v>2.4</v>
      </c>
      <c r="E34" s="139">
        <v>4.4399999999999995</v>
      </c>
      <c r="F34" s="139">
        <v>0</v>
      </c>
      <c r="G34" s="139">
        <v>0</v>
      </c>
      <c r="H34" s="139">
        <v>4376.7300000000005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4386.13</v>
      </c>
    </row>
    <row r="35" spans="1:21" ht="38.25" customHeight="1" x14ac:dyDescent="0.35">
      <c r="A35" s="171">
        <v>22</v>
      </c>
      <c r="B35" s="172" t="s">
        <v>104</v>
      </c>
      <c r="C35" s="139">
        <v>5911.2699999999986</v>
      </c>
      <c r="D35" s="139">
        <v>32.72</v>
      </c>
      <c r="E35" s="139">
        <v>57.37</v>
      </c>
      <c r="F35" s="139">
        <v>0</v>
      </c>
      <c r="G35" s="139">
        <v>0</v>
      </c>
      <c r="H35" s="139">
        <v>5943.9899999999989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5948.0199999999986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4719.6699999999983</v>
      </c>
      <c r="D37" s="139">
        <v>10.84</v>
      </c>
      <c r="E37" s="139">
        <v>29.069999999999997</v>
      </c>
      <c r="F37" s="139">
        <v>0</v>
      </c>
      <c r="G37" s="139">
        <v>0</v>
      </c>
      <c r="H37" s="139">
        <v>4730.5099999999984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4738.4699999999984</v>
      </c>
    </row>
    <row r="38" spans="1:21" s="111" customFormat="1" ht="38.25" customHeight="1" x14ac:dyDescent="0.4">
      <c r="A38" s="310" t="s">
        <v>107</v>
      </c>
      <c r="B38" s="310"/>
      <c r="C38" s="141">
        <v>17967.289999999997</v>
      </c>
      <c r="D38" s="141">
        <v>45.959999999999994</v>
      </c>
      <c r="E38" s="141">
        <v>117.72999999999999</v>
      </c>
      <c r="F38" s="141">
        <v>0</v>
      </c>
      <c r="G38" s="141">
        <v>0</v>
      </c>
      <c r="H38" s="141">
        <v>18013.249999999996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18192.489999999994</v>
      </c>
    </row>
    <row r="39" spans="1:21" s="145" customFormat="1" ht="38.25" customHeight="1" x14ac:dyDescent="0.4">
      <c r="A39" s="310" t="s">
        <v>108</v>
      </c>
      <c r="B39" s="310"/>
      <c r="C39" s="141">
        <v>42513.0478</v>
      </c>
      <c r="D39" s="141">
        <v>89.179999999999993</v>
      </c>
      <c r="E39" s="141">
        <v>250.70499999999998</v>
      </c>
      <c r="F39" s="141">
        <v>0</v>
      </c>
      <c r="G39" s="141">
        <v>0</v>
      </c>
      <c r="H39" s="141">
        <v>42602.227799999993</v>
      </c>
      <c r="I39" s="141">
        <v>1199.1710000000003</v>
      </c>
      <c r="J39" s="141">
        <v>25.73</v>
      </c>
      <c r="K39" s="141">
        <v>33.354999999999997</v>
      </c>
      <c r="L39" s="141">
        <v>0</v>
      </c>
      <c r="M39" s="141">
        <v>0</v>
      </c>
      <c r="N39" s="141">
        <v>1224.9010000000001</v>
      </c>
      <c r="O39" s="141">
        <v>259.43200000000002</v>
      </c>
      <c r="P39" s="141">
        <v>1.31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44087.87079999999</v>
      </c>
    </row>
    <row r="40" spans="1:21" ht="38.25" customHeight="1" x14ac:dyDescent="0.35">
      <c r="A40" s="171">
        <v>25</v>
      </c>
      <c r="B40" s="172" t="s">
        <v>109</v>
      </c>
      <c r="C40" s="139">
        <v>11079.933999999997</v>
      </c>
      <c r="D40" s="139">
        <v>35.799999999999997</v>
      </c>
      <c r="E40" s="139">
        <v>120.87400000000001</v>
      </c>
      <c r="F40" s="139">
        <v>0</v>
      </c>
      <c r="G40" s="139">
        <v>0</v>
      </c>
      <c r="H40" s="139">
        <v>11115.733999999997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11115.733999999997</v>
      </c>
    </row>
    <row r="41" spans="1:21" ht="38.25" customHeight="1" x14ac:dyDescent="0.35">
      <c r="A41" s="171">
        <v>26</v>
      </c>
      <c r="B41" s="172" t="s">
        <v>110</v>
      </c>
      <c r="C41" s="139">
        <v>7104.7739999999949</v>
      </c>
      <c r="D41" s="139">
        <v>14.37</v>
      </c>
      <c r="E41" s="139">
        <v>47.457999999999998</v>
      </c>
      <c r="F41" s="139">
        <v>0</v>
      </c>
      <c r="G41" s="139">
        <v>0</v>
      </c>
      <c r="H41" s="139">
        <v>7119.1439999999948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7119.1439999999948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13581.078999999996</v>
      </c>
      <c r="D42" s="139">
        <v>20.149999999999999</v>
      </c>
      <c r="E42" s="139">
        <v>87.113</v>
      </c>
      <c r="F42" s="139">
        <v>0</v>
      </c>
      <c r="G42" s="139">
        <v>0</v>
      </c>
      <c r="H42" s="139">
        <v>13601.228999999996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5.5</v>
      </c>
      <c r="Q42" s="139">
        <v>5.5</v>
      </c>
      <c r="R42" s="139">
        <v>0</v>
      </c>
      <c r="S42" s="139">
        <v>0</v>
      </c>
      <c r="T42" s="139">
        <v>5.5</v>
      </c>
      <c r="U42" s="139">
        <v>13606.728999999996</v>
      </c>
    </row>
    <row r="43" spans="1:21" ht="38.25" customHeight="1" x14ac:dyDescent="0.35">
      <c r="A43" s="171">
        <v>28</v>
      </c>
      <c r="B43" s="172" t="s">
        <v>112</v>
      </c>
      <c r="C43" s="139">
        <v>1004.5800000000003</v>
      </c>
      <c r="D43" s="139">
        <v>7.12</v>
      </c>
      <c r="E43" s="139">
        <v>40.121999999999993</v>
      </c>
      <c r="F43" s="139">
        <v>0</v>
      </c>
      <c r="G43" s="139">
        <v>0</v>
      </c>
      <c r="H43" s="139">
        <v>1011.7000000000003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1011.7000000000003</v>
      </c>
    </row>
    <row r="44" spans="1:21" s="111" customFormat="1" ht="38.25" customHeight="1" x14ac:dyDescent="0.4">
      <c r="A44" s="310" t="s">
        <v>109</v>
      </c>
      <c r="B44" s="310"/>
      <c r="C44" s="141">
        <v>32770.366999999991</v>
      </c>
      <c r="D44" s="141">
        <v>77.44</v>
      </c>
      <c r="E44" s="141">
        <v>295.56700000000001</v>
      </c>
      <c r="F44" s="141">
        <v>0</v>
      </c>
      <c r="G44" s="141">
        <v>0</v>
      </c>
      <c r="H44" s="141">
        <v>32847.806999999986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5.5</v>
      </c>
      <c r="Q44" s="141">
        <v>5.5</v>
      </c>
      <c r="R44" s="141">
        <v>0</v>
      </c>
      <c r="S44" s="141">
        <v>0</v>
      </c>
      <c r="T44" s="141">
        <v>5.5</v>
      </c>
      <c r="U44" s="141">
        <v>32853.306999999986</v>
      </c>
    </row>
    <row r="45" spans="1:21" ht="38.25" customHeight="1" x14ac:dyDescent="0.35">
      <c r="A45" s="171">
        <v>29</v>
      </c>
      <c r="B45" s="172" t="s">
        <v>113</v>
      </c>
      <c r="C45" s="139">
        <v>8067.2021000000004</v>
      </c>
      <c r="D45" s="139">
        <v>8.1300000000000008</v>
      </c>
      <c r="E45" s="139">
        <v>26.89</v>
      </c>
      <c r="F45" s="139">
        <v>0</v>
      </c>
      <c r="G45" s="139">
        <v>0</v>
      </c>
      <c r="H45" s="139">
        <v>8075.3321000000005</v>
      </c>
      <c r="I45" s="139">
        <v>0.8600000000000001</v>
      </c>
      <c r="J45" s="139">
        <v>7.0000000000000007E-2</v>
      </c>
      <c r="K45" s="139">
        <v>7.0000000000000007E-2</v>
      </c>
      <c r="L45" s="139">
        <v>0</v>
      </c>
      <c r="M45" s="139">
        <v>0</v>
      </c>
      <c r="N45" s="139">
        <v>0.93000000000000016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8090.6921000000011</v>
      </c>
    </row>
    <row r="46" spans="1:21" ht="38.25" customHeight="1" x14ac:dyDescent="0.35">
      <c r="A46" s="171">
        <v>30</v>
      </c>
      <c r="B46" s="172" t="s">
        <v>114</v>
      </c>
      <c r="C46" s="139">
        <v>7716.795000000001</v>
      </c>
      <c r="D46" s="139">
        <v>18.309999999999999</v>
      </c>
      <c r="E46" s="139">
        <v>67.98</v>
      </c>
      <c r="F46" s="139">
        <v>0</v>
      </c>
      <c r="G46" s="139">
        <v>0</v>
      </c>
      <c r="H46" s="139">
        <v>7735.1050000000014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7736.0650000000014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8426.2100000000009</v>
      </c>
      <c r="D47" s="139">
        <v>18.940000000000001</v>
      </c>
      <c r="E47" s="139">
        <v>46.72</v>
      </c>
      <c r="F47" s="139">
        <v>0</v>
      </c>
      <c r="G47" s="139">
        <v>0</v>
      </c>
      <c r="H47" s="139">
        <v>8445.1500000000015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8452.0700000000015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7614.8389999999999</v>
      </c>
      <c r="D48" s="139">
        <v>40.159999999999997</v>
      </c>
      <c r="E48" s="139">
        <v>152.96899999999999</v>
      </c>
      <c r="F48" s="139">
        <v>0</v>
      </c>
      <c r="G48" s="139">
        <v>0</v>
      </c>
      <c r="H48" s="139">
        <v>7654.9989999999998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7655.5039999999999</v>
      </c>
    </row>
    <row r="49" spans="1:21" s="111" customFormat="1" ht="38.25" customHeight="1" x14ac:dyDescent="0.4">
      <c r="A49" s="310" t="s">
        <v>117</v>
      </c>
      <c r="B49" s="310"/>
      <c r="C49" s="141">
        <v>31825.0461</v>
      </c>
      <c r="D49" s="141">
        <v>85.539999999999992</v>
      </c>
      <c r="E49" s="141">
        <v>294.55899999999997</v>
      </c>
      <c r="F49" s="141">
        <v>0</v>
      </c>
      <c r="G49" s="141">
        <v>0</v>
      </c>
      <c r="H49" s="141">
        <v>31910.586100000004</v>
      </c>
      <c r="I49" s="141">
        <v>9.2149999999999999</v>
      </c>
      <c r="J49" s="141">
        <v>7.0000000000000007E-2</v>
      </c>
      <c r="K49" s="141">
        <v>7.0000000000000007E-2</v>
      </c>
      <c r="L49" s="141">
        <v>0</v>
      </c>
      <c r="M49" s="141">
        <v>0</v>
      </c>
      <c r="N49" s="141">
        <v>9.2850000000000001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31934.331100000003</v>
      </c>
    </row>
    <row r="50" spans="1:21" s="145" customFormat="1" ht="38.25" customHeight="1" x14ac:dyDescent="0.4">
      <c r="A50" s="310" t="s">
        <v>118</v>
      </c>
      <c r="B50" s="310"/>
      <c r="C50" s="141">
        <v>64595.413099999991</v>
      </c>
      <c r="D50" s="141">
        <v>162.97999999999999</v>
      </c>
      <c r="E50" s="141">
        <v>590.12599999999998</v>
      </c>
      <c r="F50" s="141">
        <v>0</v>
      </c>
      <c r="G50" s="141">
        <v>0</v>
      </c>
      <c r="H50" s="141">
        <v>64758.393099999987</v>
      </c>
      <c r="I50" s="141">
        <v>9.2149999999999999</v>
      </c>
      <c r="J50" s="141">
        <v>7.0000000000000007E-2</v>
      </c>
      <c r="K50" s="141">
        <v>7.0000000000000007E-2</v>
      </c>
      <c r="L50" s="141">
        <v>0</v>
      </c>
      <c r="M50" s="141">
        <v>0</v>
      </c>
      <c r="N50" s="141">
        <v>9.2850000000000001</v>
      </c>
      <c r="O50" s="141">
        <v>14.459999999999999</v>
      </c>
      <c r="P50" s="141">
        <v>5.5</v>
      </c>
      <c r="Q50" s="141">
        <v>5.5</v>
      </c>
      <c r="R50" s="141">
        <v>0</v>
      </c>
      <c r="S50" s="141">
        <v>0</v>
      </c>
      <c r="T50" s="141">
        <v>19.96</v>
      </c>
      <c r="U50" s="141">
        <v>64787.638099999989</v>
      </c>
    </row>
    <row r="51" spans="1:21" s="146" customFormat="1" ht="38.25" customHeight="1" x14ac:dyDescent="0.4">
      <c r="A51" s="310" t="s">
        <v>119</v>
      </c>
      <c r="B51" s="310"/>
      <c r="C51" s="141">
        <f>C11+C15+C19+C24+C28+C33+C38+C44+C49</f>
        <v>112586.85889999999</v>
      </c>
      <c r="D51" s="141">
        <f t="shared" ref="D51:U51" si="0">D11+D15+D19+D24+D28+D33+D38+D44+D49</f>
        <v>254.05999999999997</v>
      </c>
      <c r="E51" s="141">
        <f t="shared" si="0"/>
        <v>852.21100000000001</v>
      </c>
      <c r="F51" s="141">
        <f t="shared" si="0"/>
        <v>37.229999999999997</v>
      </c>
      <c r="G51" s="141">
        <f t="shared" si="0"/>
        <v>181.82799999999997</v>
      </c>
      <c r="H51" s="141">
        <f t="shared" si="0"/>
        <v>112803.68889999998</v>
      </c>
      <c r="I51" s="141">
        <f t="shared" si="0"/>
        <v>7181.2710000000015</v>
      </c>
      <c r="J51" s="141">
        <f t="shared" si="0"/>
        <v>104.98099999999999</v>
      </c>
      <c r="K51" s="141">
        <f t="shared" si="0"/>
        <v>381.30699999999996</v>
      </c>
      <c r="L51" s="141">
        <f t="shared" si="0"/>
        <v>0</v>
      </c>
      <c r="M51" s="141">
        <f t="shared" si="0"/>
        <v>19.510000000000002</v>
      </c>
      <c r="N51" s="141">
        <f t="shared" si="0"/>
        <v>7286.2520000000004</v>
      </c>
      <c r="O51" s="141">
        <f t="shared" si="0"/>
        <v>908.36900000000003</v>
      </c>
      <c r="P51" s="141">
        <f t="shared" si="0"/>
        <v>6.96</v>
      </c>
      <c r="Q51" s="141">
        <f t="shared" si="0"/>
        <v>10.186999999999999</v>
      </c>
      <c r="R51" s="141">
        <f t="shared" si="0"/>
        <v>0</v>
      </c>
      <c r="S51" s="141">
        <f t="shared" si="0"/>
        <v>19.555</v>
      </c>
      <c r="T51" s="141">
        <f t="shared" si="0"/>
        <v>915.32899999999995</v>
      </c>
      <c r="U51" s="141">
        <f t="shared" si="0"/>
        <v>121005.26989999998</v>
      </c>
    </row>
    <row r="52" spans="1:21" s="111" customFormat="1" ht="24" customHeight="1" x14ac:dyDescent="0.4">
      <c r="A52" s="115"/>
      <c r="B52" s="115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</row>
    <row r="53" spans="1:21" s="111" customFormat="1" ht="19.5" customHeight="1" x14ac:dyDescent="0.4">
      <c r="A53" s="115"/>
      <c r="B53" s="115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</row>
    <row r="54" spans="1:21" s="115" customFormat="1" ht="24.75" hidden="1" customHeight="1" x14ac:dyDescent="0.4">
      <c r="B54" s="194"/>
      <c r="C54" s="278" t="s">
        <v>54</v>
      </c>
      <c r="D54" s="278"/>
      <c r="E54" s="278"/>
      <c r="F54" s="278"/>
      <c r="G54" s="278"/>
      <c r="H54" s="118"/>
      <c r="I54" s="194"/>
      <c r="J54" s="194">
        <f>D51+J51+P51-F51-L51-R51</f>
        <v>328.7709999999999</v>
      </c>
      <c r="K54" s="194"/>
      <c r="L54" s="194"/>
      <c r="M54" s="194"/>
      <c r="N54" s="194"/>
      <c r="R54" s="194"/>
      <c r="U54" s="194"/>
    </row>
    <row r="55" spans="1:21" s="115" customFormat="1" ht="30" hidden="1" customHeight="1" x14ac:dyDescent="0.35">
      <c r="B55" s="194"/>
      <c r="C55" s="278" t="s">
        <v>55</v>
      </c>
      <c r="D55" s="278"/>
      <c r="E55" s="278"/>
      <c r="F55" s="278"/>
      <c r="G55" s="278"/>
      <c r="H55" s="119"/>
      <c r="I55" s="194"/>
      <c r="J55" s="194">
        <f>E51+K51+Q51-G51-M51-S51</f>
        <v>1022.812</v>
      </c>
      <c r="K55" s="194"/>
      <c r="L55" s="194"/>
      <c r="M55" s="194"/>
      <c r="N55" s="194"/>
      <c r="R55" s="194"/>
      <c r="T55" s="194"/>
    </row>
    <row r="56" spans="1:21" ht="33" hidden="1" customHeight="1" x14ac:dyDescent="0.5">
      <c r="C56" s="278" t="s">
        <v>56</v>
      </c>
      <c r="D56" s="278"/>
      <c r="E56" s="278"/>
      <c r="F56" s="278"/>
      <c r="G56" s="278"/>
      <c r="H56" s="119"/>
      <c r="I56" s="121"/>
      <c r="J56" s="194">
        <f>H51+N51+T51</f>
        <v>121005.26989999998</v>
      </c>
      <c r="K56" s="119"/>
      <c r="L56" s="119"/>
      <c r="M56" s="142" t="e">
        <f>#REF!+'july-2021'!J54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94"/>
      <c r="E57" s="194"/>
      <c r="F57" s="194"/>
      <c r="G57" s="194"/>
      <c r="H57" s="119"/>
      <c r="I57" s="121"/>
      <c r="J57" s="194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94"/>
      <c r="E58" s="194"/>
      <c r="F58" s="194"/>
      <c r="G58" s="194"/>
      <c r="H58" s="119"/>
      <c r="I58" s="121"/>
      <c r="J58" s="194"/>
      <c r="K58" s="119"/>
      <c r="L58" s="119"/>
      <c r="M58" s="142" t="e">
        <f>#REF!+'july-2021'!J54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87" t="s">
        <v>57</v>
      </c>
      <c r="C59" s="287"/>
      <c r="D59" s="287"/>
      <c r="E59" s="287"/>
      <c r="F59" s="287"/>
      <c r="G59" s="153"/>
      <c r="H59" s="154"/>
      <c r="I59" s="155"/>
      <c r="J59" s="288"/>
      <c r="K59" s="286"/>
      <c r="L59" s="286"/>
      <c r="M59" s="169" t="e">
        <f>#REF!+'july-2021'!J54</f>
        <v>#REF!</v>
      </c>
      <c r="N59" s="154"/>
      <c r="O59" s="154"/>
      <c r="P59" s="195"/>
      <c r="Q59" s="287" t="s">
        <v>58</v>
      </c>
      <c r="R59" s="287"/>
      <c r="S59" s="287"/>
      <c r="T59" s="287"/>
      <c r="U59" s="287"/>
    </row>
    <row r="60" spans="1:21" s="152" customFormat="1" ht="37.5" hidden="1" customHeight="1" x14ac:dyDescent="0.45">
      <c r="B60" s="287" t="s">
        <v>59</v>
      </c>
      <c r="C60" s="287"/>
      <c r="D60" s="287"/>
      <c r="E60" s="287"/>
      <c r="F60" s="287"/>
      <c r="G60" s="154"/>
      <c r="H60" s="153"/>
      <c r="I60" s="156"/>
      <c r="J60" s="157"/>
      <c r="K60" s="196"/>
      <c r="L60" s="157"/>
      <c r="M60" s="154"/>
      <c r="N60" s="153"/>
      <c r="O60" s="154"/>
      <c r="P60" s="195"/>
      <c r="Q60" s="287" t="s">
        <v>59</v>
      </c>
      <c r="R60" s="287"/>
      <c r="S60" s="287"/>
      <c r="T60" s="287"/>
      <c r="U60" s="287"/>
    </row>
    <row r="61" spans="1:21" s="152" customFormat="1" ht="37.5" hidden="1" customHeight="1" x14ac:dyDescent="0.45">
      <c r="I61" s="158"/>
      <c r="J61" s="286" t="s">
        <v>61</v>
      </c>
      <c r="K61" s="286"/>
      <c r="L61" s="286"/>
      <c r="M61" s="159" t="e">
        <f>#REF!+'july-2021'!J54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#REF!+'july-2021'!J54</f>
        <v>#REF!</v>
      </c>
      <c r="I62" s="158"/>
      <c r="J62" s="286" t="s">
        <v>62</v>
      </c>
      <c r="K62" s="286"/>
      <c r="L62" s="286"/>
      <c r="M62" s="159" t="e">
        <f>#REF!+'july-2021'!J54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19" activePane="bottomLeft" state="frozen"/>
      <selection pane="bottomLeft" activeCell="F31" sqref="F3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137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02" t="s">
        <v>122</v>
      </c>
      <c r="B4" s="305" t="s">
        <v>121</v>
      </c>
      <c r="C4" s="281" t="s">
        <v>131</v>
      </c>
      <c r="D4" s="282"/>
      <c r="E4" s="282"/>
      <c r="F4" s="282"/>
      <c r="G4" s="282"/>
      <c r="H4" s="282"/>
      <c r="I4" s="281" t="s">
        <v>130</v>
      </c>
      <c r="J4" s="282"/>
      <c r="K4" s="282"/>
      <c r="L4" s="282"/>
      <c r="M4" s="282"/>
      <c r="N4" s="282"/>
      <c r="O4" s="281" t="s">
        <v>129</v>
      </c>
      <c r="P4" s="282"/>
      <c r="Q4" s="282"/>
      <c r="R4" s="282"/>
      <c r="S4" s="282"/>
      <c r="T4" s="282"/>
      <c r="U4" s="198"/>
    </row>
    <row r="5" spans="1:21" s="108" customFormat="1" ht="54.75" customHeight="1" x14ac:dyDescent="0.25">
      <c r="A5" s="304"/>
      <c r="B5" s="306"/>
      <c r="C5" s="291" t="s">
        <v>6</v>
      </c>
      <c r="D5" s="289" t="s">
        <v>127</v>
      </c>
      <c r="E5" s="290"/>
      <c r="F5" s="289" t="s">
        <v>126</v>
      </c>
      <c r="G5" s="290"/>
      <c r="H5" s="291" t="s">
        <v>9</v>
      </c>
      <c r="I5" s="291" t="s">
        <v>6</v>
      </c>
      <c r="J5" s="289" t="s">
        <v>127</v>
      </c>
      <c r="K5" s="290"/>
      <c r="L5" s="289" t="s">
        <v>126</v>
      </c>
      <c r="M5" s="290"/>
      <c r="N5" s="291" t="s">
        <v>9</v>
      </c>
      <c r="O5" s="291" t="s">
        <v>6</v>
      </c>
      <c r="P5" s="289" t="s">
        <v>127</v>
      </c>
      <c r="Q5" s="290"/>
      <c r="R5" s="289" t="s">
        <v>126</v>
      </c>
      <c r="S5" s="290"/>
      <c r="T5" s="291" t="s">
        <v>9</v>
      </c>
      <c r="U5" s="305" t="s">
        <v>128</v>
      </c>
    </row>
    <row r="6" spans="1:21" s="108" customFormat="1" ht="38.25" customHeight="1" x14ac:dyDescent="0.25">
      <c r="A6" s="304"/>
      <c r="B6" s="307"/>
      <c r="C6" s="292"/>
      <c r="D6" s="172" t="s">
        <v>124</v>
      </c>
      <c r="E6" s="172" t="s">
        <v>125</v>
      </c>
      <c r="F6" s="172" t="s">
        <v>124</v>
      </c>
      <c r="G6" s="172" t="s">
        <v>125</v>
      </c>
      <c r="H6" s="292"/>
      <c r="I6" s="292"/>
      <c r="J6" s="172" t="s">
        <v>124</v>
      </c>
      <c r="K6" s="172" t="s">
        <v>125</v>
      </c>
      <c r="L6" s="172" t="s">
        <v>124</v>
      </c>
      <c r="M6" s="172" t="s">
        <v>125</v>
      </c>
      <c r="N6" s="292"/>
      <c r="O6" s="292"/>
      <c r="P6" s="172" t="s">
        <v>124</v>
      </c>
      <c r="Q6" s="172" t="s">
        <v>125</v>
      </c>
      <c r="R6" s="172" t="s">
        <v>124</v>
      </c>
      <c r="S6" s="172" t="s">
        <v>125</v>
      </c>
      <c r="T6" s="292"/>
      <c r="U6" s="307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587.03799999999978</v>
      </c>
      <c r="J7" s="139">
        <v>1.085</v>
      </c>
      <c r="K7" s="139">
        <v>37.068000000000005</v>
      </c>
      <c r="L7" s="139">
        <v>0</v>
      </c>
      <c r="M7" s="139">
        <v>0</v>
      </c>
      <c r="N7" s="139">
        <v>588.12299999999982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1109.1549999999995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85.504000000000019</v>
      </c>
      <c r="J8" s="139">
        <v>12.44</v>
      </c>
      <c r="K8" s="139">
        <v>19.274000000000001</v>
      </c>
      <c r="L8" s="139">
        <v>0</v>
      </c>
      <c r="M8" s="139">
        <v>0</v>
      </c>
      <c r="N8" s="139">
        <v>97.944000000000017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103.48900000000002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540.41800000000001</v>
      </c>
      <c r="J9" s="139">
        <v>1.18</v>
      </c>
      <c r="K9" s="139">
        <v>5.8599999999999994</v>
      </c>
      <c r="L9" s="139">
        <v>0</v>
      </c>
      <c r="M9" s="139">
        <v>0</v>
      </c>
      <c r="N9" s="139">
        <v>541.59799999999996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895.16800000000001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482.71499999999997</v>
      </c>
      <c r="J10" s="139">
        <v>0.72</v>
      </c>
      <c r="K10" s="139">
        <v>3.04</v>
      </c>
      <c r="L10" s="139">
        <v>0</v>
      </c>
      <c r="M10" s="139">
        <v>0</v>
      </c>
      <c r="N10" s="139">
        <v>483.435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491.59500000000003</v>
      </c>
    </row>
    <row r="11" spans="1:21" s="111" customFormat="1" ht="38.25" customHeight="1" x14ac:dyDescent="0.4">
      <c r="A11" s="308" t="s">
        <v>82</v>
      </c>
      <c r="B11" s="309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1695.6749999999997</v>
      </c>
      <c r="J11" s="141">
        <v>15.424999999999999</v>
      </c>
      <c r="K11" s="141">
        <v>65.242000000000004</v>
      </c>
      <c r="L11" s="141">
        <v>0</v>
      </c>
      <c r="M11" s="141">
        <v>0</v>
      </c>
      <c r="N11" s="141">
        <v>1711.0999999999997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2599.4069999999997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785.05499999999984</v>
      </c>
      <c r="J12" s="139">
        <v>0.45</v>
      </c>
      <c r="K12" s="139">
        <v>63.465000000000003</v>
      </c>
      <c r="L12" s="139">
        <v>0</v>
      </c>
      <c r="M12" s="139">
        <v>0</v>
      </c>
      <c r="N12" s="139">
        <v>785.50499999999988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1363.1349999999995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522.58200000000022</v>
      </c>
      <c r="J13" s="139">
        <v>1.1499999999999999</v>
      </c>
      <c r="K13" s="139">
        <v>2.8319999999999999</v>
      </c>
      <c r="L13" s="139">
        <v>0</v>
      </c>
      <c r="M13" s="139">
        <v>0</v>
      </c>
      <c r="N13" s="139">
        <v>523.7320000000002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860.84200000000033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858.06800000000021</v>
      </c>
      <c r="J14" s="139">
        <v>2.25</v>
      </c>
      <c r="K14" s="139">
        <v>31.917999999999999</v>
      </c>
      <c r="L14" s="139">
        <v>0</v>
      </c>
      <c r="M14" s="139">
        <v>0</v>
      </c>
      <c r="N14" s="139">
        <v>860.31800000000021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2195.9779999999996</v>
      </c>
    </row>
    <row r="15" spans="1:21" s="111" customFormat="1" ht="38.25" customHeight="1" x14ac:dyDescent="0.4">
      <c r="A15" s="308" t="s">
        <v>86</v>
      </c>
      <c r="B15" s="309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2165.7050000000004</v>
      </c>
      <c r="J15" s="141">
        <v>3.8499999999999996</v>
      </c>
      <c r="K15" s="141">
        <v>98.215000000000003</v>
      </c>
      <c r="L15" s="141">
        <v>0</v>
      </c>
      <c r="M15" s="141">
        <v>0</v>
      </c>
      <c r="N15" s="141">
        <v>2169.5550000000003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4419.9549999999999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988.17400000000043</v>
      </c>
      <c r="D16" s="139">
        <v>7.0000000000000007E-2</v>
      </c>
      <c r="E16" s="139">
        <v>0.67999999999999994</v>
      </c>
      <c r="F16" s="139">
        <v>7.93</v>
      </c>
      <c r="G16" s="139">
        <v>45.16</v>
      </c>
      <c r="H16" s="139">
        <v>980.31400000000042</v>
      </c>
      <c r="I16" s="139">
        <v>149.02599999999998</v>
      </c>
      <c r="J16" s="139">
        <v>29.06</v>
      </c>
      <c r="K16" s="139">
        <v>67.314999999999998</v>
      </c>
      <c r="L16" s="139">
        <v>0</v>
      </c>
      <c r="M16" s="139">
        <v>0</v>
      </c>
      <c r="N16" s="139">
        <v>178.08599999999998</v>
      </c>
      <c r="O16" s="139">
        <v>245.90200000000002</v>
      </c>
      <c r="P16" s="139">
        <v>0.03</v>
      </c>
      <c r="Q16" s="139">
        <v>0.03</v>
      </c>
      <c r="R16" s="139">
        <v>0</v>
      </c>
      <c r="S16" s="139">
        <v>0</v>
      </c>
      <c r="T16" s="139">
        <v>245.93200000000002</v>
      </c>
      <c r="U16" s="139">
        <v>1404.3320000000003</v>
      </c>
    </row>
    <row r="17" spans="1:21" ht="38.25" customHeight="1" x14ac:dyDescent="0.35">
      <c r="A17" s="171">
        <v>9</v>
      </c>
      <c r="B17" s="172" t="s">
        <v>120</v>
      </c>
      <c r="C17" s="139">
        <v>144.09599999999995</v>
      </c>
      <c r="D17" s="174">
        <v>3.51</v>
      </c>
      <c r="E17" s="139">
        <v>3.51</v>
      </c>
      <c r="F17" s="174">
        <v>0</v>
      </c>
      <c r="G17" s="139">
        <v>39.729999999999997</v>
      </c>
      <c r="H17" s="139">
        <v>147.60599999999994</v>
      </c>
      <c r="I17" s="139">
        <v>365.71000000000015</v>
      </c>
      <c r="J17" s="174">
        <v>6</v>
      </c>
      <c r="K17" s="139">
        <v>30.970000000000002</v>
      </c>
      <c r="L17" s="174">
        <v>0</v>
      </c>
      <c r="M17" s="139">
        <v>0</v>
      </c>
      <c r="N17" s="139">
        <v>371.71000000000015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582.05600000000004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210.76600000000008</v>
      </c>
      <c r="D18" s="139">
        <v>0.05</v>
      </c>
      <c r="E18" s="139">
        <v>0.26</v>
      </c>
      <c r="F18" s="139">
        <v>0</v>
      </c>
      <c r="G18" s="139">
        <v>0</v>
      </c>
      <c r="H18" s="139">
        <v>210.81600000000009</v>
      </c>
      <c r="I18" s="139">
        <v>348.12699999999995</v>
      </c>
      <c r="J18" s="139">
        <v>2.14</v>
      </c>
      <c r="K18" s="139">
        <v>4.0600000000000005</v>
      </c>
      <c r="L18" s="139">
        <v>0</v>
      </c>
      <c r="M18" s="139">
        <v>0</v>
      </c>
      <c r="N18" s="139">
        <v>350.26699999999994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569.45800000000008</v>
      </c>
    </row>
    <row r="19" spans="1:21" s="111" customFormat="1" ht="38.25" customHeight="1" x14ac:dyDescent="0.4">
      <c r="A19" s="308" t="s">
        <v>89</v>
      </c>
      <c r="B19" s="309"/>
      <c r="C19" s="141">
        <v>1343.0360000000005</v>
      </c>
      <c r="D19" s="141">
        <v>3.6299999999999994</v>
      </c>
      <c r="E19" s="141">
        <v>4.4499999999999993</v>
      </c>
      <c r="F19" s="141">
        <v>7.93</v>
      </c>
      <c r="G19" s="141">
        <v>84.889999999999986</v>
      </c>
      <c r="H19" s="141">
        <v>1338.7360000000003</v>
      </c>
      <c r="I19" s="141">
        <v>862.86300000000006</v>
      </c>
      <c r="J19" s="141">
        <v>37.200000000000003</v>
      </c>
      <c r="K19" s="141">
        <v>102.345</v>
      </c>
      <c r="L19" s="141">
        <v>0</v>
      </c>
      <c r="M19" s="141">
        <v>0</v>
      </c>
      <c r="N19" s="141">
        <v>900.0630000000001</v>
      </c>
      <c r="O19" s="141">
        <v>317.017</v>
      </c>
      <c r="P19" s="141">
        <v>0.03</v>
      </c>
      <c r="Q19" s="141">
        <v>0.06</v>
      </c>
      <c r="R19" s="141">
        <v>0</v>
      </c>
      <c r="S19" s="141">
        <v>1.665</v>
      </c>
      <c r="T19" s="141">
        <v>317.04700000000003</v>
      </c>
      <c r="U19" s="141">
        <v>2555.8460000000005</v>
      </c>
    </row>
    <row r="20" spans="1:21" ht="38.25" customHeight="1" x14ac:dyDescent="0.35">
      <c r="A20" s="171">
        <v>8</v>
      </c>
      <c r="B20" s="172" t="s">
        <v>91</v>
      </c>
      <c r="C20" s="139">
        <v>642.01999999999987</v>
      </c>
      <c r="D20" s="139">
        <v>0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392.60000000000008</v>
      </c>
      <c r="J20" s="139">
        <v>1.1599999999999999</v>
      </c>
      <c r="K20" s="139">
        <v>3.75</v>
      </c>
      <c r="L20" s="139">
        <v>0</v>
      </c>
      <c r="M20" s="139">
        <v>0</v>
      </c>
      <c r="N20" s="139">
        <v>393.7600000000001</v>
      </c>
      <c r="O20" s="139">
        <v>40.370000000000005</v>
      </c>
      <c r="P20" s="139">
        <v>0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1076.1500000000001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413.88299999999998</v>
      </c>
      <c r="J21" s="139">
        <v>1.1040000000000001</v>
      </c>
      <c r="K21" s="139">
        <v>26.484000000000002</v>
      </c>
      <c r="L21" s="139">
        <v>0</v>
      </c>
      <c r="M21" s="139">
        <v>0</v>
      </c>
      <c r="N21" s="139">
        <v>414.98699999999997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445.10699999999997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439.78000000000003</v>
      </c>
      <c r="J22" s="139">
        <v>0.75</v>
      </c>
      <c r="K22" s="139">
        <v>106.575</v>
      </c>
      <c r="L22" s="139">
        <v>0</v>
      </c>
      <c r="M22" s="139">
        <v>19.510000000000002</v>
      </c>
      <c r="N22" s="139">
        <v>440.53000000000003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558.23000000000013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429.48499999999984</v>
      </c>
      <c r="D23" s="139">
        <v>0</v>
      </c>
      <c r="E23" s="139">
        <v>7.1899999999999995</v>
      </c>
      <c r="F23" s="139">
        <v>0</v>
      </c>
      <c r="G23" s="139">
        <v>0</v>
      </c>
      <c r="H23" s="139">
        <v>429.48499999999984</v>
      </c>
      <c r="I23" s="139">
        <v>81.559999999999988</v>
      </c>
      <c r="J23" s="139">
        <v>0.46500000000000002</v>
      </c>
      <c r="K23" s="139">
        <v>5.2249999999999996</v>
      </c>
      <c r="L23" s="139">
        <v>0</v>
      </c>
      <c r="M23" s="139">
        <v>0</v>
      </c>
      <c r="N23" s="139">
        <v>82.024999999999991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530.74999999999977</v>
      </c>
    </row>
    <row r="24" spans="1:21" s="111" customFormat="1" ht="38.25" customHeight="1" x14ac:dyDescent="0.4">
      <c r="A24" s="310" t="s">
        <v>94</v>
      </c>
      <c r="B24" s="310"/>
      <c r="C24" s="141">
        <v>1199.1649999999997</v>
      </c>
      <c r="D24" s="141">
        <v>0</v>
      </c>
      <c r="E24" s="141">
        <v>10.41</v>
      </c>
      <c r="F24" s="141">
        <v>0</v>
      </c>
      <c r="G24" s="141">
        <v>72.819999999999993</v>
      </c>
      <c r="H24" s="141">
        <v>1199.1649999999997</v>
      </c>
      <c r="I24" s="141">
        <v>1327.8230000000001</v>
      </c>
      <c r="J24" s="141">
        <v>3.4790000000000001</v>
      </c>
      <c r="K24" s="141">
        <v>142.03399999999999</v>
      </c>
      <c r="L24" s="141">
        <v>0</v>
      </c>
      <c r="M24" s="141">
        <v>19.510000000000002</v>
      </c>
      <c r="N24" s="141">
        <v>1331.3020000000001</v>
      </c>
      <c r="O24" s="141">
        <v>79.77000000000001</v>
      </c>
      <c r="P24" s="141">
        <v>0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2610.2369999999996</v>
      </c>
    </row>
    <row r="25" spans="1:21" s="145" customFormat="1" ht="38.25" customHeight="1" x14ac:dyDescent="0.4">
      <c r="A25" s="311" t="s">
        <v>95</v>
      </c>
      <c r="B25" s="312"/>
      <c r="C25" s="141">
        <v>5443.0679999999984</v>
      </c>
      <c r="D25" s="141">
        <v>3.6299999999999994</v>
      </c>
      <c r="E25" s="141">
        <v>15.01</v>
      </c>
      <c r="F25" s="141">
        <v>7.93</v>
      </c>
      <c r="G25" s="141">
        <v>189.75799999999998</v>
      </c>
      <c r="H25" s="141">
        <v>5438.7679999999991</v>
      </c>
      <c r="I25" s="141">
        <v>6052.0660000000007</v>
      </c>
      <c r="J25" s="141">
        <v>59.954000000000001</v>
      </c>
      <c r="K25" s="141">
        <v>407.83600000000001</v>
      </c>
      <c r="L25" s="141">
        <v>0</v>
      </c>
      <c r="M25" s="141">
        <v>19.510000000000002</v>
      </c>
      <c r="N25" s="141">
        <v>6112.0199999999995</v>
      </c>
      <c r="O25" s="141">
        <v>634.62699999999995</v>
      </c>
      <c r="P25" s="141">
        <v>0.03</v>
      </c>
      <c r="Q25" s="141">
        <v>2.09</v>
      </c>
      <c r="R25" s="141">
        <v>0</v>
      </c>
      <c r="S25" s="141">
        <v>19.554999999999996</v>
      </c>
      <c r="T25" s="141">
        <v>634.65699999999993</v>
      </c>
      <c r="U25" s="141">
        <v>12185.444999999998</v>
      </c>
    </row>
    <row r="26" spans="1:21" ht="38.25" customHeight="1" x14ac:dyDescent="0.35">
      <c r="A26" s="171">
        <v>15</v>
      </c>
      <c r="B26" s="172" t="s">
        <v>96</v>
      </c>
      <c r="C26" s="139">
        <v>7447.0369999999994</v>
      </c>
      <c r="D26" s="139">
        <v>1.76</v>
      </c>
      <c r="E26" s="139">
        <v>48.15</v>
      </c>
      <c r="F26" s="139">
        <v>0</v>
      </c>
      <c r="G26" s="139">
        <v>0</v>
      </c>
      <c r="H26" s="139">
        <v>7448.7969999999996</v>
      </c>
      <c r="I26" s="139">
        <v>59.120000000000005</v>
      </c>
      <c r="J26" s="139">
        <v>0.03</v>
      </c>
      <c r="K26" s="139">
        <v>0.1</v>
      </c>
      <c r="L26" s="139">
        <v>0</v>
      </c>
      <c r="M26" s="139">
        <v>0</v>
      </c>
      <c r="N26" s="139">
        <v>59.150000000000006</v>
      </c>
      <c r="O26" s="139">
        <v>3.64</v>
      </c>
      <c r="P26" s="139">
        <v>0</v>
      </c>
      <c r="Q26" s="139">
        <v>2.62</v>
      </c>
      <c r="R26" s="139">
        <v>0</v>
      </c>
      <c r="S26" s="139">
        <v>0</v>
      </c>
      <c r="T26" s="139">
        <v>3.64</v>
      </c>
      <c r="U26" s="139">
        <v>7511.5869999999995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5496.9650000000011</v>
      </c>
      <c r="D27" s="139">
        <v>9.84</v>
      </c>
      <c r="E27" s="139">
        <v>38.305000000000007</v>
      </c>
      <c r="F27" s="139">
        <v>0</v>
      </c>
      <c r="G27" s="139">
        <v>0</v>
      </c>
      <c r="H27" s="139">
        <v>5506.8050000000012</v>
      </c>
      <c r="I27" s="139">
        <v>560.88800000000003</v>
      </c>
      <c r="J27" s="139">
        <v>0.93</v>
      </c>
      <c r="K27" s="139">
        <v>5.8199999999999994</v>
      </c>
      <c r="L27" s="139">
        <v>0</v>
      </c>
      <c r="M27" s="139">
        <v>0</v>
      </c>
      <c r="N27" s="139">
        <v>561.81799999999998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6085.5430000000015</v>
      </c>
    </row>
    <row r="28" spans="1:21" s="111" customFormat="1" ht="38.25" customHeight="1" x14ac:dyDescent="0.4">
      <c r="A28" s="310" t="s">
        <v>98</v>
      </c>
      <c r="B28" s="310"/>
      <c r="C28" s="141">
        <v>12944.002</v>
      </c>
      <c r="D28" s="141">
        <v>11.6</v>
      </c>
      <c r="E28" s="141">
        <v>86.455000000000013</v>
      </c>
      <c r="F28" s="141">
        <v>0</v>
      </c>
      <c r="G28" s="141">
        <v>0</v>
      </c>
      <c r="H28" s="141">
        <v>12955.602000000001</v>
      </c>
      <c r="I28" s="141">
        <v>620.00800000000004</v>
      </c>
      <c r="J28" s="141">
        <v>0.96000000000000008</v>
      </c>
      <c r="K28" s="141">
        <v>5.919999999999999</v>
      </c>
      <c r="L28" s="141">
        <v>0</v>
      </c>
      <c r="M28" s="141">
        <v>0</v>
      </c>
      <c r="N28" s="141">
        <v>620.96799999999996</v>
      </c>
      <c r="O28" s="141">
        <v>20.560000000000002</v>
      </c>
      <c r="P28" s="141">
        <v>0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13597.130000000001</v>
      </c>
    </row>
    <row r="29" spans="1:21" ht="38.25" customHeight="1" x14ac:dyDescent="0.35">
      <c r="A29" s="171">
        <v>17</v>
      </c>
      <c r="B29" s="172" t="s">
        <v>99</v>
      </c>
      <c r="C29" s="139">
        <v>4396.4679999999998</v>
      </c>
      <c r="D29" s="139">
        <v>8.01</v>
      </c>
      <c r="E29" s="139">
        <v>21.401000000000003</v>
      </c>
      <c r="F29" s="139">
        <v>0</v>
      </c>
      <c r="G29" s="139">
        <v>0</v>
      </c>
      <c r="H29" s="139">
        <v>4404.4780000000001</v>
      </c>
      <c r="I29" s="139">
        <v>120.61</v>
      </c>
      <c r="J29" s="139">
        <v>0.3</v>
      </c>
      <c r="K29" s="139">
        <v>24.25</v>
      </c>
      <c r="L29" s="139">
        <v>0</v>
      </c>
      <c r="M29" s="139">
        <v>0</v>
      </c>
      <c r="N29" s="139">
        <v>120.91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4583.1080000000002</v>
      </c>
    </row>
    <row r="30" spans="1:21" ht="38.25" customHeight="1" x14ac:dyDescent="0.35">
      <c r="A30" s="171">
        <v>18</v>
      </c>
      <c r="B30" s="172" t="s">
        <v>100</v>
      </c>
      <c r="C30" s="139">
        <v>428.92099999999994</v>
      </c>
      <c r="D30" s="139">
        <v>4.51</v>
      </c>
      <c r="E30" s="139">
        <v>30.518999999999998</v>
      </c>
      <c r="F30" s="139">
        <v>0</v>
      </c>
      <c r="G30" s="139">
        <v>0</v>
      </c>
      <c r="H30" s="139">
        <v>433.43099999999993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454.97799999999995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4234.7210000000005</v>
      </c>
      <c r="D31" s="139">
        <v>4.1500000000000004</v>
      </c>
      <c r="E31" s="139">
        <v>15.32</v>
      </c>
      <c r="F31" s="139">
        <v>0</v>
      </c>
      <c r="G31" s="139">
        <v>0</v>
      </c>
      <c r="H31" s="139">
        <v>4238.8710000000001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4497.8110000000006</v>
      </c>
    </row>
    <row r="32" spans="1:21" ht="38.25" customHeight="1" x14ac:dyDescent="0.35">
      <c r="A32" s="171">
        <v>20</v>
      </c>
      <c r="B32" s="172" t="s">
        <v>102</v>
      </c>
      <c r="C32" s="139">
        <v>2584.8658</v>
      </c>
      <c r="D32" s="139">
        <v>4.9400000000000004</v>
      </c>
      <c r="E32" s="139">
        <v>12.490000000000002</v>
      </c>
      <c r="F32" s="139">
        <v>0</v>
      </c>
      <c r="G32" s="139">
        <v>0</v>
      </c>
      <c r="H32" s="139">
        <v>2589.8058000000001</v>
      </c>
      <c r="I32" s="139">
        <v>186.22600000000006</v>
      </c>
      <c r="J32" s="139">
        <v>0.32</v>
      </c>
      <c r="K32" s="139">
        <v>4.4850000000000003</v>
      </c>
      <c r="L32" s="139">
        <v>0</v>
      </c>
      <c r="M32" s="139">
        <v>0</v>
      </c>
      <c r="N32" s="139">
        <v>186.54600000000005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2797.1438000000003</v>
      </c>
    </row>
    <row r="33" spans="1:21" s="111" customFormat="1" ht="38.25" customHeight="1" x14ac:dyDescent="0.4">
      <c r="A33" s="310" t="s">
        <v>99</v>
      </c>
      <c r="B33" s="310"/>
      <c r="C33" s="141">
        <v>11644.9758</v>
      </c>
      <c r="D33" s="141">
        <v>21.610000000000003</v>
      </c>
      <c r="E33" s="141">
        <v>79.730000000000018</v>
      </c>
      <c r="F33" s="141">
        <v>0</v>
      </c>
      <c r="G33" s="141">
        <v>0</v>
      </c>
      <c r="H33" s="141">
        <v>11666.585799999999</v>
      </c>
      <c r="I33" s="141">
        <v>428.92300000000006</v>
      </c>
      <c r="J33" s="141">
        <v>0.62</v>
      </c>
      <c r="K33" s="141">
        <v>29.015000000000001</v>
      </c>
      <c r="L33" s="141">
        <v>0</v>
      </c>
      <c r="M33" s="141">
        <v>0</v>
      </c>
      <c r="N33" s="141">
        <v>429.54300000000006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12333.040799999999</v>
      </c>
    </row>
    <row r="34" spans="1:21" ht="38.25" customHeight="1" x14ac:dyDescent="0.35">
      <c r="A34" s="171">
        <v>21</v>
      </c>
      <c r="B34" s="172" t="s">
        <v>103</v>
      </c>
      <c r="C34" s="139">
        <v>4376.7300000000005</v>
      </c>
      <c r="D34" s="139">
        <v>7.83</v>
      </c>
      <c r="E34" s="139">
        <v>12.27</v>
      </c>
      <c r="F34" s="139">
        <v>0</v>
      </c>
      <c r="G34" s="139">
        <v>0</v>
      </c>
      <c r="H34" s="139">
        <v>4384.5600000000004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4393.96</v>
      </c>
    </row>
    <row r="35" spans="1:21" ht="38.25" customHeight="1" x14ac:dyDescent="0.35">
      <c r="A35" s="171">
        <v>22</v>
      </c>
      <c r="B35" s="172" t="s">
        <v>104</v>
      </c>
      <c r="C35" s="139">
        <v>5943.9899999999989</v>
      </c>
      <c r="D35" s="139">
        <v>20.53</v>
      </c>
      <c r="E35" s="139">
        <v>77.900000000000006</v>
      </c>
      <c r="F35" s="139">
        <v>0</v>
      </c>
      <c r="G35" s="139">
        <v>0</v>
      </c>
      <c r="H35" s="139">
        <v>5964.5199999999986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5968.5499999999984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4730.5099999999984</v>
      </c>
      <c r="D37" s="139">
        <v>4.9800000000000004</v>
      </c>
      <c r="E37" s="139">
        <v>34.049999999999997</v>
      </c>
      <c r="F37" s="139">
        <v>0</v>
      </c>
      <c r="G37" s="139">
        <v>0</v>
      </c>
      <c r="H37" s="139">
        <v>4735.489999999998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4743.449999999998</v>
      </c>
    </row>
    <row r="38" spans="1:21" s="111" customFormat="1" ht="38.25" customHeight="1" x14ac:dyDescent="0.4">
      <c r="A38" s="310" t="s">
        <v>107</v>
      </c>
      <c r="B38" s="310"/>
      <c r="C38" s="141">
        <v>18013.249999999996</v>
      </c>
      <c r="D38" s="141">
        <v>33.340000000000003</v>
      </c>
      <c r="E38" s="141">
        <v>151.07</v>
      </c>
      <c r="F38" s="141">
        <v>0</v>
      </c>
      <c r="G38" s="141">
        <v>0</v>
      </c>
      <c r="H38" s="141">
        <v>18046.589999999997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18225.829999999998</v>
      </c>
    </row>
    <row r="39" spans="1:21" s="145" customFormat="1" ht="38.25" customHeight="1" x14ac:dyDescent="0.4">
      <c r="A39" s="310" t="s">
        <v>108</v>
      </c>
      <c r="B39" s="310"/>
      <c r="C39" s="141">
        <v>42602.227799999993</v>
      </c>
      <c r="D39" s="141">
        <v>66.55</v>
      </c>
      <c r="E39" s="141">
        <v>317.255</v>
      </c>
      <c r="F39" s="141">
        <v>0</v>
      </c>
      <c r="G39" s="141">
        <v>0</v>
      </c>
      <c r="H39" s="141">
        <v>42668.777799999996</v>
      </c>
      <c r="I39" s="141">
        <v>1224.9010000000001</v>
      </c>
      <c r="J39" s="141">
        <v>1.58</v>
      </c>
      <c r="K39" s="141">
        <v>34.935000000000002</v>
      </c>
      <c r="L39" s="141">
        <v>0</v>
      </c>
      <c r="M39" s="141">
        <v>0</v>
      </c>
      <c r="N39" s="141">
        <v>1226.4810000000002</v>
      </c>
      <c r="O39" s="141">
        <v>260.74200000000002</v>
      </c>
      <c r="P39" s="141">
        <v>0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44156.000799999994</v>
      </c>
    </row>
    <row r="40" spans="1:21" ht="38.25" customHeight="1" x14ac:dyDescent="0.35">
      <c r="A40" s="171">
        <v>25</v>
      </c>
      <c r="B40" s="172" t="s">
        <v>109</v>
      </c>
      <c r="C40" s="139">
        <v>11115.733999999997</v>
      </c>
      <c r="D40" s="139">
        <v>7.37</v>
      </c>
      <c r="E40" s="139">
        <v>128.244</v>
      </c>
      <c r="F40" s="139">
        <v>0</v>
      </c>
      <c r="G40" s="139">
        <v>0</v>
      </c>
      <c r="H40" s="139">
        <v>11123.103999999998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11123.103999999998</v>
      </c>
    </row>
    <row r="41" spans="1:21" ht="38.25" customHeight="1" x14ac:dyDescent="0.35">
      <c r="A41" s="171">
        <v>26</v>
      </c>
      <c r="B41" s="172" t="s">
        <v>110</v>
      </c>
      <c r="C41" s="139">
        <v>7119.1439999999948</v>
      </c>
      <c r="D41" s="139">
        <v>38.454999999999998</v>
      </c>
      <c r="E41" s="139">
        <v>85.912999999999997</v>
      </c>
      <c r="F41" s="139">
        <v>0</v>
      </c>
      <c r="G41" s="139">
        <v>0</v>
      </c>
      <c r="H41" s="139">
        <v>7157.5989999999947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7157.5989999999947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13601.228999999996</v>
      </c>
      <c r="D42" s="139">
        <v>8.7899999999999991</v>
      </c>
      <c r="E42" s="139">
        <v>95.902999999999992</v>
      </c>
      <c r="F42" s="139">
        <v>0</v>
      </c>
      <c r="G42" s="139">
        <v>0</v>
      </c>
      <c r="H42" s="139">
        <v>13610.018999999997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5.5</v>
      </c>
      <c r="P42" s="139">
        <v>0.17</v>
      </c>
      <c r="Q42" s="139">
        <v>5.67</v>
      </c>
      <c r="R42" s="139">
        <v>0</v>
      </c>
      <c r="S42" s="139">
        <v>0</v>
      </c>
      <c r="T42" s="139">
        <v>5.67</v>
      </c>
      <c r="U42" s="139">
        <v>13615.688999999997</v>
      </c>
    </row>
    <row r="43" spans="1:21" ht="38.25" customHeight="1" x14ac:dyDescent="0.35">
      <c r="A43" s="171">
        <v>28</v>
      </c>
      <c r="B43" s="172" t="s">
        <v>112</v>
      </c>
      <c r="C43" s="139">
        <v>1011.7000000000003</v>
      </c>
      <c r="D43" s="139">
        <v>15.4</v>
      </c>
      <c r="E43" s="139">
        <v>55.521999999999991</v>
      </c>
      <c r="F43" s="139">
        <v>0</v>
      </c>
      <c r="G43" s="139">
        <v>0</v>
      </c>
      <c r="H43" s="139">
        <v>1027.1000000000004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1027.1000000000004</v>
      </c>
    </row>
    <row r="44" spans="1:21" s="111" customFormat="1" ht="38.25" customHeight="1" x14ac:dyDescent="0.4">
      <c r="A44" s="310" t="s">
        <v>109</v>
      </c>
      <c r="B44" s="310"/>
      <c r="C44" s="141">
        <v>32847.806999999986</v>
      </c>
      <c r="D44" s="141">
        <v>70.015000000000001</v>
      </c>
      <c r="E44" s="141">
        <v>365.58199999999994</v>
      </c>
      <c r="F44" s="141">
        <v>0</v>
      </c>
      <c r="G44" s="141">
        <v>0</v>
      </c>
      <c r="H44" s="141">
        <v>32917.821999999993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5.5</v>
      </c>
      <c r="P44" s="141">
        <v>0.17</v>
      </c>
      <c r="Q44" s="141">
        <v>5.67</v>
      </c>
      <c r="R44" s="141">
        <v>0</v>
      </c>
      <c r="S44" s="141">
        <v>0</v>
      </c>
      <c r="T44" s="141">
        <v>5.67</v>
      </c>
      <c r="U44" s="141">
        <v>32923.491999999991</v>
      </c>
    </row>
    <row r="45" spans="1:21" ht="38.25" customHeight="1" x14ac:dyDescent="0.35">
      <c r="A45" s="171">
        <v>29</v>
      </c>
      <c r="B45" s="172" t="s">
        <v>113</v>
      </c>
      <c r="C45" s="139">
        <v>8075.3321000000005</v>
      </c>
      <c r="D45" s="139">
        <v>7.51</v>
      </c>
      <c r="E45" s="139">
        <v>34.4</v>
      </c>
      <c r="F45" s="139">
        <v>0</v>
      </c>
      <c r="G45" s="139">
        <v>0</v>
      </c>
      <c r="H45" s="139">
        <v>8082.8421000000008</v>
      </c>
      <c r="I45" s="139">
        <v>0.93000000000000016</v>
      </c>
      <c r="J45" s="139">
        <v>0</v>
      </c>
      <c r="K45" s="139">
        <v>7.0000000000000007E-2</v>
      </c>
      <c r="L45" s="139">
        <v>0</v>
      </c>
      <c r="M45" s="139">
        <v>0</v>
      </c>
      <c r="N45" s="139">
        <v>0.93000000000000016</v>
      </c>
      <c r="O45" s="139">
        <v>14.43</v>
      </c>
      <c r="P45" s="139">
        <v>0.17</v>
      </c>
      <c r="Q45" s="139">
        <v>0.17</v>
      </c>
      <c r="R45" s="139">
        <v>0</v>
      </c>
      <c r="S45" s="139">
        <v>0</v>
      </c>
      <c r="T45" s="139">
        <v>14.6</v>
      </c>
      <c r="U45" s="139">
        <v>8098.3721000000014</v>
      </c>
    </row>
    <row r="46" spans="1:21" ht="38.25" customHeight="1" x14ac:dyDescent="0.35">
      <c r="A46" s="171">
        <v>30</v>
      </c>
      <c r="B46" s="172" t="s">
        <v>114</v>
      </c>
      <c r="C46" s="139">
        <v>7735.1050000000014</v>
      </c>
      <c r="D46" s="139">
        <v>20.21</v>
      </c>
      <c r="E46" s="139">
        <v>88.19</v>
      </c>
      <c r="F46" s="139">
        <v>0</v>
      </c>
      <c r="G46" s="139">
        <v>0</v>
      </c>
      <c r="H46" s="139">
        <v>7755.3150000000014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7756.2750000000015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8445.1500000000015</v>
      </c>
      <c r="D47" s="139">
        <v>15.39</v>
      </c>
      <c r="E47" s="139">
        <v>62.11</v>
      </c>
      <c r="F47" s="139">
        <v>0</v>
      </c>
      <c r="G47" s="139">
        <v>0</v>
      </c>
      <c r="H47" s="139">
        <v>8460.5400000000009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8467.4600000000009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7654.9989999999998</v>
      </c>
      <c r="D48" s="139">
        <v>26.6</v>
      </c>
      <c r="E48" s="139">
        <v>179.56899999999999</v>
      </c>
      <c r="F48" s="139">
        <v>0</v>
      </c>
      <c r="G48" s="139">
        <v>0</v>
      </c>
      <c r="H48" s="139">
        <v>7681.5990000000002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7682.1040000000003</v>
      </c>
    </row>
    <row r="49" spans="1:21" s="111" customFormat="1" ht="38.25" customHeight="1" x14ac:dyDescent="0.4">
      <c r="A49" s="310" t="s">
        <v>117</v>
      </c>
      <c r="B49" s="310"/>
      <c r="C49" s="141">
        <v>31910.586100000004</v>
      </c>
      <c r="D49" s="141">
        <v>69.710000000000008</v>
      </c>
      <c r="E49" s="141">
        <v>364.26900000000001</v>
      </c>
      <c r="F49" s="141">
        <v>0</v>
      </c>
      <c r="G49" s="141">
        <v>0</v>
      </c>
      <c r="H49" s="141">
        <v>31980.296100000007</v>
      </c>
      <c r="I49" s="141">
        <v>9.2850000000000001</v>
      </c>
      <c r="J49" s="141">
        <v>0</v>
      </c>
      <c r="K49" s="141">
        <v>7.0000000000000007E-2</v>
      </c>
      <c r="L49" s="141">
        <v>0</v>
      </c>
      <c r="M49" s="141">
        <v>0</v>
      </c>
      <c r="N49" s="141">
        <v>9.2850000000000001</v>
      </c>
      <c r="O49" s="141">
        <v>14.459999999999999</v>
      </c>
      <c r="P49" s="141">
        <v>0.17</v>
      </c>
      <c r="Q49" s="141">
        <v>0.17</v>
      </c>
      <c r="R49" s="141">
        <v>0</v>
      </c>
      <c r="S49" s="141">
        <v>0</v>
      </c>
      <c r="T49" s="141">
        <v>14.629999999999999</v>
      </c>
      <c r="U49" s="141">
        <v>32004.211100000008</v>
      </c>
    </row>
    <row r="50" spans="1:21" s="145" customFormat="1" ht="38.25" customHeight="1" x14ac:dyDescent="0.4">
      <c r="A50" s="310" t="s">
        <v>118</v>
      </c>
      <c r="B50" s="310"/>
      <c r="C50" s="141">
        <v>64758.393099999987</v>
      </c>
      <c r="D50" s="141">
        <v>139.72500000000002</v>
      </c>
      <c r="E50" s="141">
        <v>729.85099999999989</v>
      </c>
      <c r="F50" s="141">
        <v>0</v>
      </c>
      <c r="G50" s="141">
        <v>0</v>
      </c>
      <c r="H50" s="141">
        <v>64898.1181</v>
      </c>
      <c r="I50" s="141">
        <v>9.2850000000000001</v>
      </c>
      <c r="J50" s="141">
        <v>0</v>
      </c>
      <c r="K50" s="141">
        <v>7.0000000000000007E-2</v>
      </c>
      <c r="L50" s="141">
        <v>0</v>
      </c>
      <c r="M50" s="141">
        <v>0</v>
      </c>
      <c r="N50" s="141">
        <v>9.2850000000000001</v>
      </c>
      <c r="O50" s="141">
        <v>19.96</v>
      </c>
      <c r="P50" s="141">
        <v>0.34</v>
      </c>
      <c r="Q50" s="141">
        <v>5.84</v>
      </c>
      <c r="R50" s="141">
        <v>0</v>
      </c>
      <c r="S50" s="141">
        <v>0</v>
      </c>
      <c r="T50" s="141">
        <v>20.299999999999997</v>
      </c>
      <c r="U50" s="141">
        <v>64927.703100000006</v>
      </c>
    </row>
    <row r="51" spans="1:21" s="146" customFormat="1" ht="38.25" customHeight="1" x14ac:dyDescent="0.4">
      <c r="A51" s="310" t="s">
        <v>119</v>
      </c>
      <c r="B51" s="310"/>
      <c r="C51" s="141">
        <v>112803.68889999998</v>
      </c>
      <c r="D51" s="141">
        <v>209.90500000000003</v>
      </c>
      <c r="E51" s="141">
        <v>1062.1159999999998</v>
      </c>
      <c r="F51" s="141">
        <v>7.93</v>
      </c>
      <c r="G51" s="141">
        <v>189.75799999999998</v>
      </c>
      <c r="H51" s="141">
        <v>113005.6639</v>
      </c>
      <c r="I51" s="141">
        <v>7286.2520000000004</v>
      </c>
      <c r="J51" s="141">
        <v>61.533999999999999</v>
      </c>
      <c r="K51" s="141">
        <v>442.84100000000001</v>
      </c>
      <c r="L51" s="141">
        <v>0</v>
      </c>
      <c r="M51" s="141">
        <v>19.510000000000002</v>
      </c>
      <c r="N51" s="141">
        <v>7347.7860000000001</v>
      </c>
      <c r="O51" s="141">
        <v>915.32899999999995</v>
      </c>
      <c r="P51" s="141">
        <v>0.37</v>
      </c>
      <c r="Q51" s="141">
        <v>10.557</v>
      </c>
      <c r="R51" s="141">
        <v>0</v>
      </c>
      <c r="S51" s="141">
        <v>19.554999999999996</v>
      </c>
      <c r="T51" s="141">
        <v>915.69899999999996</v>
      </c>
      <c r="U51" s="141">
        <v>121269.1489</v>
      </c>
    </row>
    <row r="52" spans="1:21" s="111" customFormat="1" ht="24" customHeight="1" x14ac:dyDescent="0.4">
      <c r="A52" s="115"/>
      <c r="B52" s="115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</row>
    <row r="53" spans="1:21" s="111" customFormat="1" ht="19.5" customHeight="1" x14ac:dyDescent="0.4">
      <c r="A53" s="115"/>
      <c r="B53" s="115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</row>
    <row r="54" spans="1:21" s="115" customFormat="1" ht="24.75" hidden="1" customHeight="1" x14ac:dyDescent="0.4">
      <c r="B54" s="197"/>
      <c r="C54" s="278" t="s">
        <v>54</v>
      </c>
      <c r="D54" s="278"/>
      <c r="E54" s="278"/>
      <c r="F54" s="278"/>
      <c r="G54" s="278"/>
      <c r="H54" s="118"/>
      <c r="I54" s="197"/>
      <c r="J54" s="197">
        <f>D51+J51+P51-F51-L51-R51</f>
        <v>263.87900000000002</v>
      </c>
      <c r="K54" s="197"/>
      <c r="L54" s="197"/>
      <c r="M54" s="197"/>
      <c r="N54" s="197"/>
      <c r="R54" s="197"/>
      <c r="U54" s="197"/>
    </row>
    <row r="55" spans="1:21" s="115" customFormat="1" ht="30" hidden="1" customHeight="1" x14ac:dyDescent="0.35">
      <c r="B55" s="197"/>
      <c r="C55" s="278" t="s">
        <v>55</v>
      </c>
      <c r="D55" s="278"/>
      <c r="E55" s="278"/>
      <c r="F55" s="278"/>
      <c r="G55" s="278"/>
      <c r="H55" s="119"/>
      <c r="I55" s="197"/>
      <c r="J55" s="197">
        <f>E51+K51+Q51-G51-M51-S51</f>
        <v>1286.6909999999998</v>
      </c>
      <c r="K55" s="197"/>
      <c r="L55" s="197"/>
      <c r="M55" s="197"/>
      <c r="N55" s="197"/>
      <c r="R55" s="197"/>
      <c r="T55" s="197"/>
    </row>
    <row r="56" spans="1:21" ht="33" hidden="1" customHeight="1" x14ac:dyDescent="0.5">
      <c r="C56" s="278" t="s">
        <v>56</v>
      </c>
      <c r="D56" s="278"/>
      <c r="E56" s="278"/>
      <c r="F56" s="278"/>
      <c r="G56" s="278"/>
      <c r="H56" s="119"/>
      <c r="I56" s="121"/>
      <c r="J56" s="197">
        <f>H51+N51+T51</f>
        <v>121269.1489</v>
      </c>
      <c r="K56" s="119"/>
      <c r="L56" s="119"/>
      <c r="M56" s="142" t="e">
        <f>#REF!+'aug-2021'!J54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97"/>
      <c r="E57" s="197"/>
      <c r="F57" s="197"/>
      <c r="G57" s="197"/>
      <c r="H57" s="119"/>
      <c r="I57" s="121"/>
      <c r="J57" s="197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97"/>
      <c r="E58" s="197"/>
      <c r="F58" s="197"/>
      <c r="G58" s="197"/>
      <c r="H58" s="119"/>
      <c r="I58" s="121"/>
      <c r="J58" s="197"/>
      <c r="K58" s="119"/>
      <c r="L58" s="119"/>
      <c r="M58" s="142" t="e">
        <f>#REF!+'aug-2021'!J54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87" t="s">
        <v>57</v>
      </c>
      <c r="C59" s="287"/>
      <c r="D59" s="287"/>
      <c r="E59" s="287"/>
      <c r="F59" s="287"/>
      <c r="G59" s="153"/>
      <c r="H59" s="154"/>
      <c r="I59" s="155"/>
      <c r="J59" s="288"/>
      <c r="K59" s="286"/>
      <c r="L59" s="286"/>
      <c r="M59" s="169" t="e">
        <f>#REF!+'aug-2021'!J54</f>
        <v>#REF!</v>
      </c>
      <c r="N59" s="154"/>
      <c r="O59" s="154"/>
      <c r="P59" s="200"/>
      <c r="Q59" s="287" t="s">
        <v>58</v>
      </c>
      <c r="R59" s="287"/>
      <c r="S59" s="287"/>
      <c r="T59" s="287"/>
      <c r="U59" s="287"/>
    </row>
    <row r="60" spans="1:21" s="152" customFormat="1" ht="37.5" hidden="1" customHeight="1" x14ac:dyDescent="0.45">
      <c r="B60" s="287" t="s">
        <v>59</v>
      </c>
      <c r="C60" s="287"/>
      <c r="D60" s="287"/>
      <c r="E60" s="287"/>
      <c r="F60" s="287"/>
      <c r="G60" s="154"/>
      <c r="H60" s="153"/>
      <c r="I60" s="156"/>
      <c r="J60" s="157"/>
      <c r="K60" s="199"/>
      <c r="L60" s="157"/>
      <c r="M60" s="154"/>
      <c r="N60" s="153"/>
      <c r="O60" s="154"/>
      <c r="P60" s="200"/>
      <c r="Q60" s="287" t="s">
        <v>59</v>
      </c>
      <c r="R60" s="287"/>
      <c r="S60" s="287"/>
      <c r="T60" s="287"/>
      <c r="U60" s="287"/>
    </row>
    <row r="61" spans="1:21" s="152" customFormat="1" ht="37.5" hidden="1" customHeight="1" x14ac:dyDescent="0.45">
      <c r="I61" s="158"/>
      <c r="J61" s="286" t="s">
        <v>61</v>
      </c>
      <c r="K61" s="286"/>
      <c r="L61" s="286"/>
      <c r="M61" s="159" t="e">
        <f>#REF!+'aug-2021'!J54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#REF!+'aug-2021'!J54</f>
        <v>#REF!</v>
      </c>
      <c r="I62" s="158"/>
      <c r="J62" s="286" t="s">
        <v>62</v>
      </c>
      <c r="K62" s="286"/>
      <c r="L62" s="286"/>
      <c r="M62" s="159" t="e">
        <f>#REF!+'aug-2021'!J54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7" activePane="bottomLeft" state="frozen"/>
      <selection pane="bottomLeft" activeCell="C7" sqref="C7:U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98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1" ht="54" customHeight="1" x14ac:dyDescent="0.35">
      <c r="A2" s="300" t="s">
        <v>138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ht="32.25" customHeigh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s="108" customFormat="1" ht="43.5" customHeight="1" x14ac:dyDescent="0.25">
      <c r="A4" s="302" t="s">
        <v>122</v>
      </c>
      <c r="B4" s="305" t="s">
        <v>121</v>
      </c>
      <c r="C4" s="281" t="s">
        <v>131</v>
      </c>
      <c r="D4" s="282"/>
      <c r="E4" s="282"/>
      <c r="F4" s="282"/>
      <c r="G4" s="282"/>
      <c r="H4" s="282"/>
      <c r="I4" s="281" t="s">
        <v>130</v>
      </c>
      <c r="J4" s="282"/>
      <c r="K4" s="282"/>
      <c r="L4" s="282"/>
      <c r="M4" s="282"/>
      <c r="N4" s="282"/>
      <c r="O4" s="281" t="s">
        <v>129</v>
      </c>
      <c r="P4" s="282"/>
      <c r="Q4" s="282"/>
      <c r="R4" s="282"/>
      <c r="S4" s="282"/>
      <c r="T4" s="282"/>
      <c r="U4" s="202"/>
    </row>
    <row r="5" spans="1:21" s="108" customFormat="1" ht="54.75" customHeight="1" x14ac:dyDescent="0.25">
      <c r="A5" s="304"/>
      <c r="B5" s="306"/>
      <c r="C5" s="291" t="s">
        <v>6</v>
      </c>
      <c r="D5" s="289" t="s">
        <v>127</v>
      </c>
      <c r="E5" s="290"/>
      <c r="F5" s="289" t="s">
        <v>126</v>
      </c>
      <c r="G5" s="290"/>
      <c r="H5" s="291" t="s">
        <v>9</v>
      </c>
      <c r="I5" s="291" t="s">
        <v>6</v>
      </c>
      <c r="J5" s="289" t="s">
        <v>127</v>
      </c>
      <c r="K5" s="290"/>
      <c r="L5" s="289" t="s">
        <v>126</v>
      </c>
      <c r="M5" s="290"/>
      <c r="N5" s="291" t="s">
        <v>9</v>
      </c>
      <c r="O5" s="291" t="s">
        <v>6</v>
      </c>
      <c r="P5" s="289" t="s">
        <v>127</v>
      </c>
      <c r="Q5" s="290"/>
      <c r="R5" s="289" t="s">
        <v>126</v>
      </c>
      <c r="S5" s="290"/>
      <c r="T5" s="291" t="s">
        <v>9</v>
      </c>
      <c r="U5" s="305" t="s">
        <v>128</v>
      </c>
    </row>
    <row r="6" spans="1:21" s="108" customFormat="1" ht="38.25" customHeight="1" x14ac:dyDescent="0.25">
      <c r="A6" s="304"/>
      <c r="B6" s="307"/>
      <c r="C6" s="292"/>
      <c r="D6" s="172" t="s">
        <v>124</v>
      </c>
      <c r="E6" s="172" t="s">
        <v>125</v>
      </c>
      <c r="F6" s="172" t="s">
        <v>124</v>
      </c>
      <c r="G6" s="172" t="s">
        <v>125</v>
      </c>
      <c r="H6" s="292"/>
      <c r="I6" s="292"/>
      <c r="J6" s="172" t="s">
        <v>124</v>
      </c>
      <c r="K6" s="172" t="s">
        <v>125</v>
      </c>
      <c r="L6" s="172" t="s">
        <v>124</v>
      </c>
      <c r="M6" s="172" t="s">
        <v>125</v>
      </c>
      <c r="N6" s="292"/>
      <c r="O6" s="292"/>
      <c r="P6" s="172" t="s">
        <v>124</v>
      </c>
      <c r="Q6" s="172" t="s">
        <v>125</v>
      </c>
      <c r="R6" s="172" t="s">
        <v>124</v>
      </c>
      <c r="S6" s="172" t="s">
        <v>125</v>
      </c>
      <c r="T6" s="292"/>
      <c r="U6" s="307"/>
    </row>
    <row r="7" spans="1:21" ht="38.25" customHeight="1" x14ac:dyDescent="0.35">
      <c r="A7" s="171">
        <v>1</v>
      </c>
      <c r="B7" s="172" t="s">
        <v>78</v>
      </c>
      <c r="C7" s="139">
        <v>450.93199999999985</v>
      </c>
      <c r="D7" s="139">
        <v>0</v>
      </c>
      <c r="E7" s="139">
        <v>0</v>
      </c>
      <c r="F7" s="139">
        <v>0</v>
      </c>
      <c r="G7" s="139">
        <v>8.9580000000000002</v>
      </c>
      <c r="H7" s="139">
        <v>450.93199999999985</v>
      </c>
      <c r="I7" s="139">
        <v>588.12299999999982</v>
      </c>
      <c r="J7" s="139">
        <v>1.085</v>
      </c>
      <c r="K7" s="139">
        <v>38.153000000000006</v>
      </c>
      <c r="L7" s="139">
        <v>0</v>
      </c>
      <c r="M7" s="139">
        <v>0</v>
      </c>
      <c r="N7" s="139">
        <v>589.20799999999986</v>
      </c>
      <c r="O7" s="139">
        <v>70.100000000000009</v>
      </c>
      <c r="P7" s="139">
        <v>0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1110.2399999999996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97.944000000000017</v>
      </c>
      <c r="J8" s="139">
        <v>12.44</v>
      </c>
      <c r="K8" s="139">
        <v>31.713999999999999</v>
      </c>
      <c r="L8" s="139">
        <v>0</v>
      </c>
      <c r="M8" s="139">
        <v>0</v>
      </c>
      <c r="N8" s="139">
        <v>110.38400000000001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115.92900000000002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541.59799999999996</v>
      </c>
      <c r="J9" s="139">
        <v>1.18</v>
      </c>
      <c r="K9" s="139">
        <v>7.0399999999999991</v>
      </c>
      <c r="L9" s="139">
        <v>0</v>
      </c>
      <c r="M9" s="139">
        <v>0</v>
      </c>
      <c r="N9" s="139">
        <v>542.77799999999991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896.34799999999996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483.435</v>
      </c>
      <c r="J10" s="139">
        <v>0.72</v>
      </c>
      <c r="K10" s="139">
        <v>3.76</v>
      </c>
      <c r="L10" s="139">
        <v>0</v>
      </c>
      <c r="M10" s="139">
        <v>0</v>
      </c>
      <c r="N10" s="139">
        <v>484.15500000000003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492.31500000000005</v>
      </c>
    </row>
    <row r="11" spans="1:21" s="111" customFormat="1" ht="38.25" customHeight="1" x14ac:dyDescent="0.4">
      <c r="A11" s="308" t="s">
        <v>82</v>
      </c>
      <c r="B11" s="309"/>
      <c r="C11" s="141">
        <v>772.38699999999994</v>
      </c>
      <c r="D11" s="141">
        <v>0</v>
      </c>
      <c r="E11" s="141">
        <v>0</v>
      </c>
      <c r="F11" s="141">
        <v>0</v>
      </c>
      <c r="G11" s="141">
        <v>8.9580000000000002</v>
      </c>
      <c r="H11" s="141">
        <v>772.38699999999994</v>
      </c>
      <c r="I11" s="141">
        <v>1711.0999999999997</v>
      </c>
      <c r="J11" s="141">
        <v>15.424999999999999</v>
      </c>
      <c r="K11" s="141">
        <v>80.667000000000016</v>
      </c>
      <c r="L11" s="141">
        <v>0</v>
      </c>
      <c r="M11" s="141">
        <v>0</v>
      </c>
      <c r="N11" s="141">
        <v>1726.5249999999999</v>
      </c>
      <c r="O11" s="141">
        <v>115.92</v>
      </c>
      <c r="P11" s="141">
        <v>0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2614.8319999999999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785.50499999999988</v>
      </c>
      <c r="J12" s="139">
        <v>0.84</v>
      </c>
      <c r="K12" s="139">
        <v>64.305000000000007</v>
      </c>
      <c r="L12" s="139">
        <v>0</v>
      </c>
      <c r="M12" s="139">
        <v>0</v>
      </c>
      <c r="N12" s="139">
        <v>786.34499999999991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1363.9749999999997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523.7320000000002</v>
      </c>
      <c r="J13" s="139">
        <v>0.34</v>
      </c>
      <c r="K13" s="139">
        <v>3.1719999999999997</v>
      </c>
      <c r="L13" s="139">
        <v>0</v>
      </c>
      <c r="M13" s="139">
        <v>0</v>
      </c>
      <c r="N13" s="139">
        <v>524.07200000000023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861.18200000000036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1277.9099999999994</v>
      </c>
      <c r="D14" s="139">
        <v>0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860.31800000000021</v>
      </c>
      <c r="J14" s="139">
        <v>1.94</v>
      </c>
      <c r="K14" s="139">
        <v>33.857999999999997</v>
      </c>
      <c r="L14" s="139">
        <v>0</v>
      </c>
      <c r="M14" s="139">
        <v>0</v>
      </c>
      <c r="N14" s="139">
        <v>862.25800000000027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2197.9179999999997</v>
      </c>
    </row>
    <row r="15" spans="1:21" s="111" customFormat="1" ht="38.25" customHeight="1" x14ac:dyDescent="0.4">
      <c r="A15" s="308" t="s">
        <v>86</v>
      </c>
      <c r="B15" s="309"/>
      <c r="C15" s="141">
        <v>2128.4799999999991</v>
      </c>
      <c r="D15" s="141">
        <v>0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2169.5550000000003</v>
      </c>
      <c r="J15" s="141">
        <v>3.12</v>
      </c>
      <c r="K15" s="141">
        <v>101.33500000000001</v>
      </c>
      <c r="L15" s="141">
        <v>0</v>
      </c>
      <c r="M15" s="141">
        <v>0</v>
      </c>
      <c r="N15" s="141">
        <v>2172.6750000000002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4423.0749999999998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980.31400000000042</v>
      </c>
      <c r="D16" s="139">
        <v>0.43</v>
      </c>
      <c r="E16" s="139">
        <v>1.1099999999999999</v>
      </c>
      <c r="F16" s="139">
        <v>0</v>
      </c>
      <c r="G16" s="139">
        <v>45.16</v>
      </c>
      <c r="H16" s="139">
        <v>980.74400000000037</v>
      </c>
      <c r="I16" s="139">
        <v>178.08599999999998</v>
      </c>
      <c r="J16" s="139">
        <v>29.27</v>
      </c>
      <c r="K16" s="139">
        <v>96.584999999999994</v>
      </c>
      <c r="L16" s="139">
        <v>0</v>
      </c>
      <c r="M16" s="139">
        <v>0</v>
      </c>
      <c r="N16" s="139">
        <v>207.35599999999999</v>
      </c>
      <c r="O16" s="139">
        <v>245.93200000000002</v>
      </c>
      <c r="P16" s="139">
        <v>0</v>
      </c>
      <c r="Q16" s="139">
        <v>0.03</v>
      </c>
      <c r="R16" s="139">
        <v>0</v>
      </c>
      <c r="S16" s="139">
        <v>0</v>
      </c>
      <c r="T16" s="139">
        <v>245.93200000000002</v>
      </c>
      <c r="U16" s="139">
        <v>1434.0320000000004</v>
      </c>
    </row>
    <row r="17" spans="1:21" ht="38.25" customHeight="1" x14ac:dyDescent="0.35">
      <c r="A17" s="171">
        <v>9</v>
      </c>
      <c r="B17" s="172" t="s">
        <v>120</v>
      </c>
      <c r="C17" s="139">
        <v>147.60599999999994</v>
      </c>
      <c r="D17" s="174">
        <v>0</v>
      </c>
      <c r="E17" s="139">
        <v>3.51</v>
      </c>
      <c r="F17" s="174">
        <v>0</v>
      </c>
      <c r="G17" s="139">
        <v>39.729999999999997</v>
      </c>
      <c r="H17" s="139">
        <v>147.60599999999994</v>
      </c>
      <c r="I17" s="139">
        <v>371.71000000000015</v>
      </c>
      <c r="J17" s="174">
        <v>0.13</v>
      </c>
      <c r="K17" s="139">
        <v>31.1</v>
      </c>
      <c r="L17" s="174">
        <v>0</v>
      </c>
      <c r="M17" s="139">
        <v>0</v>
      </c>
      <c r="N17" s="139">
        <v>371.84000000000015</v>
      </c>
      <c r="O17" s="139">
        <v>62.74</v>
      </c>
      <c r="P17" s="174">
        <v>0</v>
      </c>
      <c r="Q17" s="139">
        <v>0.03</v>
      </c>
      <c r="R17" s="174">
        <v>0</v>
      </c>
      <c r="S17" s="139">
        <v>1.665</v>
      </c>
      <c r="T17" s="139">
        <v>62.74</v>
      </c>
      <c r="U17" s="139">
        <v>582.18600000000015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210.81600000000009</v>
      </c>
      <c r="D18" s="139">
        <v>0</v>
      </c>
      <c r="E18" s="139">
        <v>0.26</v>
      </c>
      <c r="F18" s="139">
        <v>0</v>
      </c>
      <c r="G18" s="139">
        <v>0</v>
      </c>
      <c r="H18" s="139">
        <v>210.81600000000009</v>
      </c>
      <c r="I18" s="139">
        <v>350.26699999999994</v>
      </c>
      <c r="J18" s="139">
        <v>0.37</v>
      </c>
      <c r="K18" s="139">
        <v>4.4300000000000006</v>
      </c>
      <c r="L18" s="139">
        <v>0</v>
      </c>
      <c r="M18" s="139">
        <v>0</v>
      </c>
      <c r="N18" s="139">
        <v>350.63699999999994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569.82799999999997</v>
      </c>
    </row>
    <row r="19" spans="1:21" s="111" customFormat="1" ht="38.25" customHeight="1" x14ac:dyDescent="0.4">
      <c r="A19" s="308" t="s">
        <v>89</v>
      </c>
      <c r="B19" s="309"/>
      <c r="C19" s="141">
        <v>1338.7360000000003</v>
      </c>
      <c r="D19" s="141">
        <v>0.43</v>
      </c>
      <c r="E19" s="141">
        <v>4.879999999999999</v>
      </c>
      <c r="F19" s="141">
        <v>0</v>
      </c>
      <c r="G19" s="141">
        <v>84.889999999999986</v>
      </c>
      <c r="H19" s="141">
        <v>1339.1660000000004</v>
      </c>
      <c r="I19" s="141">
        <v>900.0630000000001</v>
      </c>
      <c r="J19" s="141">
        <v>29.77</v>
      </c>
      <c r="K19" s="141">
        <v>132.11500000000001</v>
      </c>
      <c r="L19" s="141">
        <v>0</v>
      </c>
      <c r="M19" s="141">
        <v>0</v>
      </c>
      <c r="N19" s="141">
        <v>929.83300000000008</v>
      </c>
      <c r="O19" s="141">
        <v>317.04700000000003</v>
      </c>
      <c r="P19" s="141">
        <v>0</v>
      </c>
      <c r="Q19" s="141">
        <v>0.06</v>
      </c>
      <c r="R19" s="141">
        <v>0</v>
      </c>
      <c r="S19" s="141">
        <v>1.665</v>
      </c>
      <c r="T19" s="141">
        <v>317.04700000000003</v>
      </c>
      <c r="U19" s="141">
        <v>2586.0460000000003</v>
      </c>
    </row>
    <row r="20" spans="1:21" ht="38.25" customHeight="1" x14ac:dyDescent="0.35">
      <c r="A20" s="171">
        <v>8</v>
      </c>
      <c r="B20" s="172" t="s">
        <v>91</v>
      </c>
      <c r="C20" s="139">
        <v>642.01999999999987</v>
      </c>
      <c r="D20" s="139">
        <v>0</v>
      </c>
      <c r="E20" s="139">
        <v>2.37</v>
      </c>
      <c r="F20" s="139">
        <v>0</v>
      </c>
      <c r="G20" s="139">
        <v>0</v>
      </c>
      <c r="H20" s="139">
        <v>642.01999999999987</v>
      </c>
      <c r="I20" s="139">
        <v>393.7600000000001</v>
      </c>
      <c r="J20" s="139">
        <v>0.875</v>
      </c>
      <c r="K20" s="139">
        <v>4.625</v>
      </c>
      <c r="L20" s="139">
        <v>0</v>
      </c>
      <c r="M20" s="139">
        <v>0</v>
      </c>
      <c r="N20" s="139">
        <v>394.6350000000001</v>
      </c>
      <c r="O20" s="139">
        <v>40.370000000000005</v>
      </c>
      <c r="P20" s="139">
        <v>0</v>
      </c>
      <c r="Q20" s="139">
        <v>0.15</v>
      </c>
      <c r="R20" s="139">
        <v>0</v>
      </c>
      <c r="S20" s="139">
        <v>0</v>
      </c>
      <c r="T20" s="139">
        <v>40.370000000000005</v>
      </c>
      <c r="U20" s="139">
        <v>1077.0250000000001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414.98699999999997</v>
      </c>
      <c r="J21" s="139">
        <v>0.19</v>
      </c>
      <c r="K21" s="139">
        <v>26.674000000000003</v>
      </c>
      <c r="L21" s="139">
        <v>0</v>
      </c>
      <c r="M21" s="139">
        <v>0</v>
      </c>
      <c r="N21" s="139">
        <v>415.17699999999996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445.29699999999997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117.10000000000005</v>
      </c>
      <c r="D22" s="139">
        <v>0</v>
      </c>
      <c r="E22" s="139">
        <v>0.85</v>
      </c>
      <c r="F22" s="139">
        <v>0</v>
      </c>
      <c r="G22" s="139">
        <v>64.459999999999994</v>
      </c>
      <c r="H22" s="139">
        <v>117.10000000000005</v>
      </c>
      <c r="I22" s="139">
        <v>440.53000000000003</v>
      </c>
      <c r="J22" s="139">
        <v>0.17</v>
      </c>
      <c r="K22" s="139">
        <v>106.745</v>
      </c>
      <c r="L22" s="139">
        <v>0</v>
      </c>
      <c r="M22" s="139">
        <v>19.510000000000002</v>
      </c>
      <c r="N22" s="139">
        <v>440.70000000000005</v>
      </c>
      <c r="O22" s="139">
        <v>0.60000000000000142</v>
      </c>
      <c r="P22" s="139">
        <v>0</v>
      </c>
      <c r="Q22" s="139">
        <v>0</v>
      </c>
      <c r="R22" s="139">
        <v>0</v>
      </c>
      <c r="S22" s="139">
        <v>12.75</v>
      </c>
      <c r="T22" s="139">
        <v>0.60000000000000142</v>
      </c>
      <c r="U22" s="139">
        <v>558.40000000000009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429.48499999999984</v>
      </c>
      <c r="D23" s="139">
        <v>0</v>
      </c>
      <c r="E23" s="139">
        <v>7.1899999999999995</v>
      </c>
      <c r="F23" s="139">
        <v>0</v>
      </c>
      <c r="G23" s="139">
        <v>0</v>
      </c>
      <c r="H23" s="139">
        <v>429.48499999999984</v>
      </c>
      <c r="I23" s="139">
        <v>82.024999999999991</v>
      </c>
      <c r="J23" s="139">
        <v>0.42</v>
      </c>
      <c r="K23" s="139">
        <v>5.6449999999999996</v>
      </c>
      <c r="L23" s="139">
        <v>0</v>
      </c>
      <c r="M23" s="139">
        <v>0</v>
      </c>
      <c r="N23" s="139">
        <v>82.444999999999993</v>
      </c>
      <c r="O23" s="139">
        <v>19.240000000000002</v>
      </c>
      <c r="P23" s="139">
        <v>0</v>
      </c>
      <c r="Q23" s="139">
        <v>0</v>
      </c>
      <c r="R23" s="139">
        <v>0</v>
      </c>
      <c r="S23" s="139">
        <v>3.26</v>
      </c>
      <c r="T23" s="139">
        <v>19.240000000000002</v>
      </c>
      <c r="U23" s="139">
        <v>531.16999999999985</v>
      </c>
    </row>
    <row r="24" spans="1:21" s="111" customFormat="1" ht="38.25" customHeight="1" x14ac:dyDescent="0.4">
      <c r="A24" s="310" t="s">
        <v>94</v>
      </c>
      <c r="B24" s="310"/>
      <c r="C24" s="141">
        <v>1199.1649999999997</v>
      </c>
      <c r="D24" s="141">
        <v>0</v>
      </c>
      <c r="E24" s="141">
        <v>10.41</v>
      </c>
      <c r="F24" s="141">
        <v>0</v>
      </c>
      <c r="G24" s="141">
        <v>72.819999999999993</v>
      </c>
      <c r="H24" s="141">
        <v>1199.1649999999997</v>
      </c>
      <c r="I24" s="141">
        <v>1331.3020000000001</v>
      </c>
      <c r="J24" s="141">
        <v>1.6549999999999998</v>
      </c>
      <c r="K24" s="141">
        <v>143.68900000000002</v>
      </c>
      <c r="L24" s="141">
        <v>0</v>
      </c>
      <c r="M24" s="141">
        <v>19.510000000000002</v>
      </c>
      <c r="N24" s="141">
        <v>1332.9570000000001</v>
      </c>
      <c r="O24" s="141">
        <v>79.77000000000001</v>
      </c>
      <c r="P24" s="141">
        <v>0</v>
      </c>
      <c r="Q24" s="141">
        <v>0.15</v>
      </c>
      <c r="R24" s="141">
        <v>0</v>
      </c>
      <c r="S24" s="141">
        <v>16.009999999999998</v>
      </c>
      <c r="T24" s="141">
        <v>79.77000000000001</v>
      </c>
      <c r="U24" s="141">
        <v>2611.8919999999998</v>
      </c>
    </row>
    <row r="25" spans="1:21" s="145" customFormat="1" ht="38.25" customHeight="1" x14ac:dyDescent="0.4">
      <c r="A25" s="311" t="s">
        <v>95</v>
      </c>
      <c r="B25" s="312"/>
      <c r="C25" s="141">
        <v>5438.7679999999991</v>
      </c>
      <c r="D25" s="141">
        <v>0.43</v>
      </c>
      <c r="E25" s="141">
        <v>15.44</v>
      </c>
      <c r="F25" s="141">
        <v>0</v>
      </c>
      <c r="G25" s="141">
        <v>189.75799999999998</v>
      </c>
      <c r="H25" s="141">
        <v>5439.1979999999994</v>
      </c>
      <c r="I25" s="141">
        <v>6112.0199999999995</v>
      </c>
      <c r="J25" s="141">
        <v>49.97</v>
      </c>
      <c r="K25" s="141">
        <v>457.80600000000004</v>
      </c>
      <c r="L25" s="141">
        <v>0</v>
      </c>
      <c r="M25" s="141">
        <v>19.510000000000002</v>
      </c>
      <c r="N25" s="141">
        <v>6161.99</v>
      </c>
      <c r="O25" s="141">
        <v>634.65699999999993</v>
      </c>
      <c r="P25" s="141">
        <v>0</v>
      </c>
      <c r="Q25" s="141">
        <v>2.09</v>
      </c>
      <c r="R25" s="141">
        <v>0</v>
      </c>
      <c r="S25" s="141">
        <v>19.554999999999996</v>
      </c>
      <c r="T25" s="141">
        <v>634.65699999999993</v>
      </c>
      <c r="U25" s="141">
        <v>12235.844999999999</v>
      </c>
    </row>
    <row r="26" spans="1:21" ht="38.25" customHeight="1" x14ac:dyDescent="0.35">
      <c r="A26" s="171">
        <v>15</v>
      </c>
      <c r="B26" s="172" t="s">
        <v>96</v>
      </c>
      <c r="C26" s="139">
        <v>7448.7969999999996</v>
      </c>
      <c r="D26" s="139">
        <v>8.07</v>
      </c>
      <c r="E26" s="139">
        <v>56.22</v>
      </c>
      <c r="F26" s="139">
        <v>0</v>
      </c>
      <c r="G26" s="139">
        <v>0</v>
      </c>
      <c r="H26" s="139">
        <v>7456.8669999999993</v>
      </c>
      <c r="I26" s="139">
        <v>59.150000000000006</v>
      </c>
      <c r="J26" s="139">
        <v>0.28000000000000003</v>
      </c>
      <c r="K26" s="139">
        <v>0.38</v>
      </c>
      <c r="L26" s="139">
        <v>0</v>
      </c>
      <c r="M26" s="139">
        <v>0</v>
      </c>
      <c r="N26" s="139">
        <v>59.430000000000007</v>
      </c>
      <c r="O26" s="139">
        <v>3.64</v>
      </c>
      <c r="P26" s="139">
        <v>0</v>
      </c>
      <c r="Q26" s="139">
        <v>2.62</v>
      </c>
      <c r="R26" s="139">
        <v>0</v>
      </c>
      <c r="S26" s="139">
        <v>0</v>
      </c>
      <c r="T26" s="139">
        <v>3.64</v>
      </c>
      <c r="U26" s="139">
        <v>7519.9369999999999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5506.8050000000012</v>
      </c>
      <c r="D27" s="139">
        <v>13.59</v>
      </c>
      <c r="E27" s="139">
        <v>51.89500000000001</v>
      </c>
      <c r="F27" s="139">
        <v>0</v>
      </c>
      <c r="G27" s="139">
        <v>0</v>
      </c>
      <c r="H27" s="139">
        <v>5520.3950000000013</v>
      </c>
      <c r="I27" s="139">
        <v>561.81799999999998</v>
      </c>
      <c r="J27" s="139">
        <v>1.51</v>
      </c>
      <c r="K27" s="139">
        <v>7.3299999999999992</v>
      </c>
      <c r="L27" s="139">
        <v>0</v>
      </c>
      <c r="M27" s="139">
        <v>0</v>
      </c>
      <c r="N27" s="139">
        <v>563.32799999999997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6100.6430000000018</v>
      </c>
    </row>
    <row r="28" spans="1:21" s="111" customFormat="1" ht="38.25" customHeight="1" x14ac:dyDescent="0.4">
      <c r="A28" s="310" t="s">
        <v>98</v>
      </c>
      <c r="B28" s="310"/>
      <c r="C28" s="141">
        <v>12955.602000000001</v>
      </c>
      <c r="D28" s="141">
        <v>21.66</v>
      </c>
      <c r="E28" s="141">
        <v>108.11500000000001</v>
      </c>
      <c r="F28" s="141">
        <v>0</v>
      </c>
      <c r="G28" s="141">
        <v>0</v>
      </c>
      <c r="H28" s="141">
        <v>12977.262000000001</v>
      </c>
      <c r="I28" s="141">
        <v>620.96799999999996</v>
      </c>
      <c r="J28" s="141">
        <v>1.79</v>
      </c>
      <c r="K28" s="141">
        <v>7.7099999999999991</v>
      </c>
      <c r="L28" s="141">
        <v>0</v>
      </c>
      <c r="M28" s="141">
        <v>0</v>
      </c>
      <c r="N28" s="141">
        <v>622.75800000000004</v>
      </c>
      <c r="O28" s="141">
        <v>20.560000000000002</v>
      </c>
      <c r="P28" s="141">
        <v>0</v>
      </c>
      <c r="Q28" s="141">
        <v>2.62</v>
      </c>
      <c r="R28" s="141">
        <v>0</v>
      </c>
      <c r="S28" s="141">
        <v>0</v>
      </c>
      <c r="T28" s="141">
        <v>20.560000000000002</v>
      </c>
      <c r="U28" s="141">
        <v>13620.580000000002</v>
      </c>
    </row>
    <row r="29" spans="1:21" ht="38.25" customHeight="1" x14ac:dyDescent="0.35">
      <c r="A29" s="171">
        <v>17</v>
      </c>
      <c r="B29" s="172" t="s">
        <v>99</v>
      </c>
      <c r="C29" s="139">
        <v>4404.4780000000001</v>
      </c>
      <c r="D29" s="139">
        <v>5.55</v>
      </c>
      <c r="E29" s="139">
        <v>26.951000000000004</v>
      </c>
      <c r="F29" s="139">
        <v>0</v>
      </c>
      <c r="G29" s="139">
        <v>0</v>
      </c>
      <c r="H29" s="139">
        <v>4410.0280000000002</v>
      </c>
      <c r="I29" s="139">
        <v>120.91</v>
      </c>
      <c r="J29" s="139">
        <v>0</v>
      </c>
      <c r="K29" s="139">
        <v>24.25</v>
      </c>
      <c r="L29" s="139">
        <v>0</v>
      </c>
      <c r="M29" s="139">
        <v>0</v>
      </c>
      <c r="N29" s="139">
        <v>120.91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4588.6580000000004</v>
      </c>
    </row>
    <row r="30" spans="1:21" ht="38.25" customHeight="1" x14ac:dyDescent="0.35">
      <c r="A30" s="171">
        <v>18</v>
      </c>
      <c r="B30" s="172" t="s">
        <v>100</v>
      </c>
      <c r="C30" s="139">
        <v>433.43099999999993</v>
      </c>
      <c r="D30" s="139">
        <v>4.22</v>
      </c>
      <c r="E30" s="139">
        <v>34.738999999999997</v>
      </c>
      <c r="F30" s="139">
        <v>0</v>
      </c>
      <c r="G30" s="139">
        <v>0</v>
      </c>
      <c r="H30" s="139">
        <v>437.65099999999995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459.19799999999998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4238.8710000000001</v>
      </c>
      <c r="D31" s="139">
        <v>1.82</v>
      </c>
      <c r="E31" s="139">
        <v>17.14</v>
      </c>
      <c r="F31" s="139">
        <v>0</v>
      </c>
      <c r="G31" s="139">
        <v>0</v>
      </c>
      <c r="H31" s="139">
        <v>4240.6909999999998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4499.6310000000003</v>
      </c>
    </row>
    <row r="32" spans="1:21" ht="38.25" customHeight="1" x14ac:dyDescent="0.35">
      <c r="A32" s="171">
        <v>20</v>
      </c>
      <c r="B32" s="172" t="s">
        <v>102</v>
      </c>
      <c r="C32" s="139">
        <v>2589.8058000000001</v>
      </c>
      <c r="D32" s="139">
        <v>3.99</v>
      </c>
      <c r="E32" s="139">
        <v>16.480000000000004</v>
      </c>
      <c r="F32" s="139">
        <v>0</v>
      </c>
      <c r="G32" s="139">
        <v>0</v>
      </c>
      <c r="H32" s="139">
        <v>2593.7957999999999</v>
      </c>
      <c r="I32" s="139">
        <v>186.54600000000005</v>
      </c>
      <c r="J32" s="139">
        <v>0.3</v>
      </c>
      <c r="K32" s="139">
        <v>4.7850000000000001</v>
      </c>
      <c r="L32" s="139">
        <v>0</v>
      </c>
      <c r="M32" s="139">
        <v>0</v>
      </c>
      <c r="N32" s="139">
        <v>186.84600000000006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2801.4337999999998</v>
      </c>
    </row>
    <row r="33" spans="1:21" s="111" customFormat="1" ht="38.25" customHeight="1" x14ac:dyDescent="0.4">
      <c r="A33" s="310" t="s">
        <v>99</v>
      </c>
      <c r="B33" s="310"/>
      <c r="C33" s="141">
        <v>11666.585799999999</v>
      </c>
      <c r="D33" s="141">
        <v>15.58</v>
      </c>
      <c r="E33" s="141">
        <v>95.31</v>
      </c>
      <c r="F33" s="141">
        <v>0</v>
      </c>
      <c r="G33" s="141">
        <v>0</v>
      </c>
      <c r="H33" s="141">
        <v>11682.165799999999</v>
      </c>
      <c r="I33" s="141">
        <v>429.54300000000006</v>
      </c>
      <c r="J33" s="141">
        <v>0.3</v>
      </c>
      <c r="K33" s="141">
        <v>29.315000000000001</v>
      </c>
      <c r="L33" s="141">
        <v>0</v>
      </c>
      <c r="M33" s="141">
        <v>0</v>
      </c>
      <c r="N33" s="141">
        <v>429.84300000000007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12348.9208</v>
      </c>
    </row>
    <row r="34" spans="1:21" ht="38.25" customHeight="1" x14ac:dyDescent="0.35">
      <c r="A34" s="171">
        <v>21</v>
      </c>
      <c r="B34" s="172" t="s">
        <v>103</v>
      </c>
      <c r="C34" s="139">
        <v>4384.5600000000004</v>
      </c>
      <c r="D34" s="139">
        <v>9.77</v>
      </c>
      <c r="E34" s="139">
        <v>22.04</v>
      </c>
      <c r="F34" s="139">
        <v>0</v>
      </c>
      <c r="G34" s="139">
        <v>0</v>
      </c>
      <c r="H34" s="139">
        <v>4394.3300000000008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4403.7300000000005</v>
      </c>
    </row>
    <row r="35" spans="1:21" ht="38.25" customHeight="1" x14ac:dyDescent="0.35">
      <c r="A35" s="171">
        <v>22</v>
      </c>
      <c r="B35" s="172" t="s">
        <v>104</v>
      </c>
      <c r="C35" s="139">
        <v>5964.5199999999986</v>
      </c>
      <c r="D35" s="139">
        <v>21.29</v>
      </c>
      <c r="E35" s="139">
        <v>99.19</v>
      </c>
      <c r="F35" s="139">
        <v>0</v>
      </c>
      <c r="G35" s="139">
        <v>0</v>
      </c>
      <c r="H35" s="139">
        <v>5985.8099999999986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5989.8399999999983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2962.0199999999995</v>
      </c>
      <c r="D36" s="139">
        <v>0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4735.489999999998</v>
      </c>
      <c r="D37" s="139">
        <v>20.57</v>
      </c>
      <c r="E37" s="139">
        <v>54.62</v>
      </c>
      <c r="F37" s="139">
        <v>0</v>
      </c>
      <c r="G37" s="139">
        <v>0</v>
      </c>
      <c r="H37" s="139">
        <v>4756.0599999999977</v>
      </c>
      <c r="I37" s="139">
        <v>6.92</v>
      </c>
      <c r="J37" s="139">
        <v>12.43</v>
      </c>
      <c r="K37" s="139">
        <v>12.43</v>
      </c>
      <c r="L37" s="139">
        <v>0</v>
      </c>
      <c r="M37" s="139">
        <v>0</v>
      </c>
      <c r="N37" s="139">
        <v>19.350000000000001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4776.449999999998</v>
      </c>
    </row>
    <row r="38" spans="1:21" s="111" customFormat="1" ht="38.25" customHeight="1" x14ac:dyDescent="0.4">
      <c r="A38" s="310" t="s">
        <v>107</v>
      </c>
      <c r="B38" s="310"/>
      <c r="C38" s="141">
        <v>18046.589999999997</v>
      </c>
      <c r="D38" s="141">
        <v>51.629999999999995</v>
      </c>
      <c r="E38" s="141">
        <v>202.7</v>
      </c>
      <c r="F38" s="141">
        <v>0</v>
      </c>
      <c r="G38" s="141">
        <v>0</v>
      </c>
      <c r="H38" s="141">
        <v>18098.219999999998</v>
      </c>
      <c r="I38" s="141">
        <v>175.97000000000003</v>
      </c>
      <c r="J38" s="141">
        <v>12.43</v>
      </c>
      <c r="K38" s="141">
        <v>12.43</v>
      </c>
      <c r="L38" s="141">
        <v>0</v>
      </c>
      <c r="M38" s="141">
        <v>0</v>
      </c>
      <c r="N38" s="141">
        <v>188.40000000000003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18289.889999999996</v>
      </c>
    </row>
    <row r="39" spans="1:21" s="145" customFormat="1" ht="38.25" customHeight="1" x14ac:dyDescent="0.4">
      <c r="A39" s="310" t="s">
        <v>108</v>
      </c>
      <c r="B39" s="310"/>
      <c r="C39" s="141">
        <v>42668.777799999996</v>
      </c>
      <c r="D39" s="141">
        <v>88.86999999999999</v>
      </c>
      <c r="E39" s="141">
        <v>406.125</v>
      </c>
      <c r="F39" s="141">
        <v>0</v>
      </c>
      <c r="G39" s="141">
        <v>0</v>
      </c>
      <c r="H39" s="141">
        <v>42757.647799999999</v>
      </c>
      <c r="I39" s="141">
        <v>1226.4810000000002</v>
      </c>
      <c r="J39" s="141">
        <v>14.52</v>
      </c>
      <c r="K39" s="141">
        <v>49.455000000000005</v>
      </c>
      <c r="L39" s="141">
        <v>0</v>
      </c>
      <c r="M39" s="141">
        <v>0</v>
      </c>
      <c r="N39" s="141">
        <v>1241.0010000000002</v>
      </c>
      <c r="O39" s="141">
        <v>260.74200000000002</v>
      </c>
      <c r="P39" s="141">
        <v>0</v>
      </c>
      <c r="Q39" s="141">
        <v>2.6270000000000002</v>
      </c>
      <c r="R39" s="141">
        <v>0</v>
      </c>
      <c r="S39" s="141">
        <v>0</v>
      </c>
      <c r="T39" s="141">
        <v>260.74200000000002</v>
      </c>
      <c r="U39" s="141">
        <v>44259.390799999994</v>
      </c>
    </row>
    <row r="40" spans="1:21" ht="38.25" customHeight="1" x14ac:dyDescent="0.35">
      <c r="A40" s="171">
        <v>25</v>
      </c>
      <c r="B40" s="172" t="s">
        <v>109</v>
      </c>
      <c r="C40" s="139">
        <v>11123.103999999998</v>
      </c>
      <c r="D40" s="139">
        <v>14.04</v>
      </c>
      <c r="E40" s="139">
        <v>142.28399999999999</v>
      </c>
      <c r="F40" s="139">
        <v>0</v>
      </c>
      <c r="G40" s="139">
        <v>0</v>
      </c>
      <c r="H40" s="139">
        <v>11137.143999999998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11137.143999999998</v>
      </c>
    </row>
    <row r="41" spans="1:21" ht="38.25" customHeight="1" x14ac:dyDescent="0.35">
      <c r="A41" s="171">
        <v>26</v>
      </c>
      <c r="B41" s="172" t="s">
        <v>110</v>
      </c>
      <c r="C41" s="139">
        <v>7157.5989999999947</v>
      </c>
      <c r="D41" s="139">
        <v>88.18</v>
      </c>
      <c r="E41" s="139">
        <v>174.09300000000002</v>
      </c>
      <c r="F41" s="139">
        <v>0</v>
      </c>
      <c r="G41" s="139">
        <v>0</v>
      </c>
      <c r="H41" s="139">
        <v>7245.778999999995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7245.778999999995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13610.018999999997</v>
      </c>
      <c r="D42" s="139">
        <v>43.19</v>
      </c>
      <c r="E42" s="139">
        <v>139.09299999999999</v>
      </c>
      <c r="F42" s="139">
        <v>0</v>
      </c>
      <c r="G42" s="139">
        <v>0</v>
      </c>
      <c r="H42" s="139">
        <v>13653.208999999997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5.67</v>
      </c>
      <c r="P42" s="139">
        <v>0</v>
      </c>
      <c r="Q42" s="139">
        <v>5.67</v>
      </c>
      <c r="R42" s="139">
        <v>0</v>
      </c>
      <c r="S42" s="139">
        <v>0</v>
      </c>
      <c r="T42" s="139">
        <v>5.67</v>
      </c>
      <c r="U42" s="139">
        <v>13658.878999999997</v>
      </c>
    </row>
    <row r="43" spans="1:21" ht="38.25" customHeight="1" x14ac:dyDescent="0.35">
      <c r="A43" s="171">
        <v>28</v>
      </c>
      <c r="B43" s="172" t="s">
        <v>112</v>
      </c>
      <c r="C43" s="139">
        <v>1027.1000000000004</v>
      </c>
      <c r="D43" s="139">
        <v>14.4</v>
      </c>
      <c r="E43" s="139">
        <v>69.921999999999997</v>
      </c>
      <c r="F43" s="139">
        <v>0</v>
      </c>
      <c r="G43" s="139">
        <v>0</v>
      </c>
      <c r="H43" s="139">
        <v>1041.5000000000005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1041.5000000000005</v>
      </c>
    </row>
    <row r="44" spans="1:21" s="111" customFormat="1" ht="38.25" customHeight="1" x14ac:dyDescent="0.4">
      <c r="A44" s="310" t="s">
        <v>109</v>
      </c>
      <c r="B44" s="310"/>
      <c r="C44" s="141">
        <v>32917.821999999993</v>
      </c>
      <c r="D44" s="141">
        <v>159.81</v>
      </c>
      <c r="E44" s="141">
        <v>525.39200000000005</v>
      </c>
      <c r="F44" s="141">
        <v>0</v>
      </c>
      <c r="G44" s="141">
        <v>0</v>
      </c>
      <c r="H44" s="141">
        <v>33077.631999999991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5.67</v>
      </c>
      <c r="P44" s="141">
        <v>0</v>
      </c>
      <c r="Q44" s="141">
        <v>5.67</v>
      </c>
      <c r="R44" s="141">
        <v>0</v>
      </c>
      <c r="S44" s="141">
        <v>0</v>
      </c>
      <c r="T44" s="141">
        <v>5.67</v>
      </c>
      <c r="U44" s="141">
        <v>33083.301999999996</v>
      </c>
    </row>
    <row r="45" spans="1:21" ht="38.25" customHeight="1" x14ac:dyDescent="0.35">
      <c r="A45" s="171">
        <v>29</v>
      </c>
      <c r="B45" s="172" t="s">
        <v>113</v>
      </c>
      <c r="C45" s="139">
        <v>8082.8421000000008</v>
      </c>
      <c r="D45" s="139">
        <v>13.12</v>
      </c>
      <c r="E45" s="139">
        <v>47.519999999999996</v>
      </c>
      <c r="F45" s="139">
        <v>0</v>
      </c>
      <c r="G45" s="139">
        <v>0</v>
      </c>
      <c r="H45" s="139">
        <v>8095.9621000000006</v>
      </c>
      <c r="I45" s="139">
        <v>0.93000000000000016</v>
      </c>
      <c r="J45" s="139">
        <v>0.11</v>
      </c>
      <c r="K45" s="139">
        <v>0.18</v>
      </c>
      <c r="L45" s="139">
        <v>0</v>
      </c>
      <c r="M45" s="139">
        <v>0</v>
      </c>
      <c r="N45" s="139">
        <v>1.0400000000000003</v>
      </c>
      <c r="O45" s="139">
        <v>14.6</v>
      </c>
      <c r="P45" s="139">
        <v>0.15</v>
      </c>
      <c r="Q45" s="139">
        <v>0.32</v>
      </c>
      <c r="R45" s="139">
        <v>0</v>
      </c>
      <c r="S45" s="139">
        <v>0</v>
      </c>
      <c r="T45" s="139">
        <v>14.75</v>
      </c>
      <c r="U45" s="139">
        <v>8111.7521000000006</v>
      </c>
    </row>
    <row r="46" spans="1:21" ht="38.25" customHeight="1" x14ac:dyDescent="0.35">
      <c r="A46" s="171">
        <v>30</v>
      </c>
      <c r="B46" s="172" t="s">
        <v>114</v>
      </c>
      <c r="C46" s="139">
        <v>7755.3150000000014</v>
      </c>
      <c r="D46" s="139">
        <v>14.36</v>
      </c>
      <c r="E46" s="139">
        <v>102.55</v>
      </c>
      <c r="F46" s="139">
        <v>0</v>
      </c>
      <c r="G46" s="139">
        <v>0</v>
      </c>
      <c r="H46" s="139">
        <v>7769.6750000000011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7770.6350000000011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8460.5400000000009</v>
      </c>
      <c r="D47" s="139">
        <v>13.86</v>
      </c>
      <c r="E47" s="139">
        <v>75.97</v>
      </c>
      <c r="F47" s="139">
        <v>0</v>
      </c>
      <c r="G47" s="139">
        <v>0</v>
      </c>
      <c r="H47" s="139">
        <v>8474.4000000000015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8481.3200000000015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7681.5990000000002</v>
      </c>
      <c r="D48" s="139">
        <v>130.91</v>
      </c>
      <c r="E48" s="139">
        <v>310.47899999999998</v>
      </c>
      <c r="F48" s="139">
        <v>0</v>
      </c>
      <c r="G48" s="139">
        <v>0</v>
      </c>
      <c r="H48" s="139">
        <v>7812.509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7813.0140000000001</v>
      </c>
    </row>
    <row r="49" spans="1:21" s="111" customFormat="1" ht="38.25" customHeight="1" x14ac:dyDescent="0.4">
      <c r="A49" s="310" t="s">
        <v>117</v>
      </c>
      <c r="B49" s="310"/>
      <c r="C49" s="141">
        <v>31980.296100000007</v>
      </c>
      <c r="D49" s="141">
        <v>172.25</v>
      </c>
      <c r="E49" s="141">
        <v>536.51900000000001</v>
      </c>
      <c r="F49" s="141">
        <v>0</v>
      </c>
      <c r="G49" s="141">
        <v>0</v>
      </c>
      <c r="H49" s="141">
        <v>32152.5461</v>
      </c>
      <c r="I49" s="141">
        <v>9.2850000000000001</v>
      </c>
      <c r="J49" s="141">
        <v>0.11</v>
      </c>
      <c r="K49" s="141">
        <v>0.18</v>
      </c>
      <c r="L49" s="141">
        <v>0</v>
      </c>
      <c r="M49" s="141">
        <v>0</v>
      </c>
      <c r="N49" s="141">
        <v>9.3950000000000014</v>
      </c>
      <c r="O49" s="141">
        <v>14.629999999999999</v>
      </c>
      <c r="P49" s="141">
        <v>0.15</v>
      </c>
      <c r="Q49" s="141">
        <v>0.32</v>
      </c>
      <c r="R49" s="141">
        <v>0</v>
      </c>
      <c r="S49" s="141">
        <v>0</v>
      </c>
      <c r="T49" s="141">
        <v>14.78</v>
      </c>
      <c r="U49" s="141">
        <v>32176.721100000002</v>
      </c>
    </row>
    <row r="50" spans="1:21" s="145" customFormat="1" ht="38.25" customHeight="1" x14ac:dyDescent="0.4">
      <c r="A50" s="310" t="s">
        <v>118</v>
      </c>
      <c r="B50" s="310"/>
      <c r="C50" s="141">
        <v>64898.1181</v>
      </c>
      <c r="D50" s="141">
        <v>332.06</v>
      </c>
      <c r="E50" s="141">
        <v>1061.9110000000001</v>
      </c>
      <c r="F50" s="141">
        <v>0</v>
      </c>
      <c r="G50" s="141">
        <v>0</v>
      </c>
      <c r="H50" s="141">
        <v>65230.17809999999</v>
      </c>
      <c r="I50" s="141">
        <v>9.2850000000000001</v>
      </c>
      <c r="J50" s="141">
        <v>0.11</v>
      </c>
      <c r="K50" s="141">
        <v>0.18</v>
      </c>
      <c r="L50" s="141">
        <v>0</v>
      </c>
      <c r="M50" s="141">
        <v>0</v>
      </c>
      <c r="N50" s="141">
        <v>9.3950000000000014</v>
      </c>
      <c r="O50" s="141">
        <v>20.299999999999997</v>
      </c>
      <c r="P50" s="141">
        <v>0.15</v>
      </c>
      <c r="Q50" s="141">
        <v>5.99</v>
      </c>
      <c r="R50" s="141">
        <v>0</v>
      </c>
      <c r="S50" s="141">
        <v>0</v>
      </c>
      <c r="T50" s="141">
        <v>20.45</v>
      </c>
      <c r="U50" s="141">
        <v>65260.023099999999</v>
      </c>
    </row>
    <row r="51" spans="1:21" s="146" customFormat="1" ht="38.25" customHeight="1" x14ac:dyDescent="0.4">
      <c r="A51" s="310" t="s">
        <v>119</v>
      </c>
      <c r="B51" s="310"/>
      <c r="C51" s="141">
        <v>113005.6639</v>
      </c>
      <c r="D51" s="141">
        <v>421.36</v>
      </c>
      <c r="E51" s="141">
        <v>1483.4760000000001</v>
      </c>
      <c r="F51" s="141">
        <v>0</v>
      </c>
      <c r="G51" s="141">
        <v>189.75799999999998</v>
      </c>
      <c r="H51" s="141">
        <v>113427.0239</v>
      </c>
      <c r="I51" s="141">
        <v>7347.7860000000001</v>
      </c>
      <c r="J51" s="141">
        <v>64.599999999999994</v>
      </c>
      <c r="K51" s="141">
        <v>507.44100000000003</v>
      </c>
      <c r="L51" s="141">
        <v>0</v>
      </c>
      <c r="M51" s="141">
        <v>19.510000000000002</v>
      </c>
      <c r="N51" s="141">
        <v>7412.3860000000004</v>
      </c>
      <c r="O51" s="141">
        <v>915.69899999999996</v>
      </c>
      <c r="P51" s="141">
        <v>0.15</v>
      </c>
      <c r="Q51" s="141">
        <v>10.707000000000001</v>
      </c>
      <c r="R51" s="141">
        <v>0</v>
      </c>
      <c r="S51" s="141">
        <v>19.554999999999996</v>
      </c>
      <c r="T51" s="141">
        <v>915.84899999999993</v>
      </c>
      <c r="U51" s="141">
        <v>121755.25889999999</v>
      </c>
    </row>
    <row r="52" spans="1:21" s="111" customFormat="1" ht="24" customHeight="1" x14ac:dyDescent="0.4">
      <c r="A52" s="115"/>
      <c r="B52" s="115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</row>
    <row r="53" spans="1:21" s="111" customFormat="1" ht="19.5" customHeight="1" x14ac:dyDescent="0.4">
      <c r="A53" s="115"/>
      <c r="B53" s="115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</row>
    <row r="54" spans="1:21" s="115" customFormat="1" ht="24.75" hidden="1" customHeight="1" x14ac:dyDescent="0.4">
      <c r="B54" s="201"/>
      <c r="C54" s="278" t="s">
        <v>54</v>
      </c>
      <c r="D54" s="278"/>
      <c r="E54" s="278"/>
      <c r="F54" s="278"/>
      <c r="G54" s="278"/>
      <c r="H54" s="118"/>
      <c r="I54" s="201"/>
      <c r="J54" s="201">
        <f>D51+J51+P51-F51-L51-R51</f>
        <v>486.11</v>
      </c>
      <c r="K54" s="201"/>
      <c r="L54" s="201"/>
      <c r="M54" s="201"/>
      <c r="N54" s="201"/>
      <c r="R54" s="201"/>
      <c r="U54" s="201"/>
    </row>
    <row r="55" spans="1:21" s="115" customFormat="1" ht="30" hidden="1" customHeight="1" x14ac:dyDescent="0.35">
      <c r="B55" s="201"/>
      <c r="C55" s="278" t="s">
        <v>55</v>
      </c>
      <c r="D55" s="278"/>
      <c r="E55" s="278"/>
      <c r="F55" s="278"/>
      <c r="G55" s="278"/>
      <c r="H55" s="119"/>
      <c r="I55" s="201"/>
      <c r="J55" s="201">
        <f>E51+K51+Q51-G51-M51-S51</f>
        <v>1772.8010000000002</v>
      </c>
      <c r="K55" s="201"/>
      <c r="L55" s="201"/>
      <c r="M55" s="201"/>
      <c r="N55" s="201"/>
      <c r="R55" s="201"/>
      <c r="T55" s="201"/>
    </row>
    <row r="56" spans="1:21" ht="33" hidden="1" customHeight="1" x14ac:dyDescent="0.5">
      <c r="C56" s="278" t="s">
        <v>56</v>
      </c>
      <c r="D56" s="278"/>
      <c r="E56" s="278"/>
      <c r="F56" s="278"/>
      <c r="G56" s="278"/>
      <c r="H56" s="119"/>
      <c r="I56" s="121"/>
      <c r="J56" s="201">
        <f>H51+N51+T51</f>
        <v>121755.2589</v>
      </c>
      <c r="K56" s="119"/>
      <c r="L56" s="119"/>
      <c r="M56" s="142" t="e">
        <f>#REF!+'Sep-2021'!J54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201"/>
      <c r="E57" s="201"/>
      <c r="F57" s="201"/>
      <c r="G57" s="201"/>
      <c r="H57" s="119"/>
      <c r="I57" s="121"/>
      <c r="J57" s="201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201"/>
      <c r="E58" s="201"/>
      <c r="F58" s="201"/>
      <c r="G58" s="201"/>
      <c r="H58" s="119"/>
      <c r="I58" s="121"/>
      <c r="J58" s="201"/>
      <c r="K58" s="119"/>
      <c r="L58" s="119"/>
      <c r="M58" s="142" t="e">
        <f>#REF!+'Sep-2021'!J54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87" t="s">
        <v>57</v>
      </c>
      <c r="C59" s="287"/>
      <c r="D59" s="287"/>
      <c r="E59" s="287"/>
      <c r="F59" s="287"/>
      <c r="G59" s="153"/>
      <c r="H59" s="154"/>
      <c r="I59" s="155"/>
      <c r="J59" s="288"/>
      <c r="K59" s="286"/>
      <c r="L59" s="286"/>
      <c r="M59" s="169" t="e">
        <f>#REF!+'Sep-2021'!J54</f>
        <v>#REF!</v>
      </c>
      <c r="N59" s="154"/>
      <c r="O59" s="154"/>
      <c r="P59" s="204"/>
      <c r="Q59" s="287" t="s">
        <v>58</v>
      </c>
      <c r="R59" s="287"/>
      <c r="S59" s="287"/>
      <c r="T59" s="287"/>
      <c r="U59" s="287"/>
    </row>
    <row r="60" spans="1:21" s="152" customFormat="1" ht="37.5" hidden="1" customHeight="1" x14ac:dyDescent="0.45">
      <c r="B60" s="287" t="s">
        <v>59</v>
      </c>
      <c r="C60" s="287"/>
      <c r="D60" s="287"/>
      <c r="E60" s="287"/>
      <c r="F60" s="287"/>
      <c r="G60" s="154"/>
      <c r="H60" s="153"/>
      <c r="I60" s="156"/>
      <c r="J60" s="157"/>
      <c r="K60" s="203"/>
      <c r="L60" s="157"/>
      <c r="M60" s="154"/>
      <c r="N60" s="153"/>
      <c r="O60" s="154"/>
      <c r="P60" s="204"/>
      <c r="Q60" s="287" t="s">
        <v>59</v>
      </c>
      <c r="R60" s="287"/>
      <c r="S60" s="287"/>
      <c r="T60" s="287"/>
      <c r="U60" s="287"/>
    </row>
    <row r="61" spans="1:21" s="152" customFormat="1" ht="37.5" hidden="1" customHeight="1" x14ac:dyDescent="0.45">
      <c r="I61" s="158"/>
      <c r="J61" s="286" t="s">
        <v>61</v>
      </c>
      <c r="K61" s="286"/>
      <c r="L61" s="286"/>
      <c r="M61" s="159" t="e">
        <f>#REF!+'Sep-2021'!J54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#REF!+'Sep-2021'!J54</f>
        <v>#REF!</v>
      </c>
      <c r="I62" s="158"/>
      <c r="J62" s="286" t="s">
        <v>62</v>
      </c>
      <c r="K62" s="286"/>
      <c r="L62" s="286"/>
      <c r="M62" s="159" t="e">
        <f>#REF!+'Sep-2021'!J54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1:L61"/>
    <mergeCell ref="J62:L62"/>
    <mergeCell ref="C54:G54"/>
    <mergeCell ref="C55:G55"/>
    <mergeCell ref="C56:G56"/>
    <mergeCell ref="B59:F59"/>
    <mergeCell ref="J59:L59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19</vt:i4>
      </vt:variant>
    </vt:vector>
  </HeadingPairs>
  <TitlesOfParts>
    <vt:vector size="55" baseType="lpstr">
      <vt:lpstr>march 2020</vt:lpstr>
      <vt:lpstr>Sheet1</vt:lpstr>
      <vt:lpstr>March-2021</vt:lpstr>
      <vt:lpstr>April-2021</vt:lpstr>
      <vt:lpstr>May-2021</vt:lpstr>
      <vt:lpstr>June-2021</vt:lpstr>
      <vt:lpstr>july-2021</vt:lpstr>
      <vt:lpstr>aug-2021</vt:lpstr>
      <vt:lpstr>Sep-2021</vt:lpstr>
      <vt:lpstr>Oct-2021</vt:lpstr>
      <vt:lpstr>Nov-2021</vt:lpstr>
      <vt:lpstr>dec-2021</vt:lpstr>
      <vt:lpstr>braz</vt:lpstr>
      <vt:lpstr>brc</vt:lpstr>
      <vt:lpstr>kolar</vt:lpstr>
      <vt:lpstr>ramanagr</vt:lpstr>
      <vt:lpstr>CIRCLE</vt:lpstr>
      <vt:lpstr>DIFF</vt:lpstr>
      <vt:lpstr>ht</vt:lpstr>
      <vt:lpstr>Jan-2022</vt:lpstr>
      <vt:lpstr>Feb-2022</vt:lpstr>
      <vt:lpstr>March-2022 </vt:lpstr>
      <vt:lpstr>April-2022 </vt:lpstr>
      <vt:lpstr>May-2022</vt:lpstr>
      <vt:lpstr>June-2022</vt:lpstr>
      <vt:lpstr>July-2022 </vt:lpstr>
      <vt:lpstr>August-2022 </vt:lpstr>
      <vt:lpstr>Sep-2022</vt:lpstr>
      <vt:lpstr>Oct-2022</vt:lpstr>
      <vt:lpstr>Nov-2022 </vt:lpstr>
      <vt:lpstr>DEC-2022 </vt:lpstr>
      <vt:lpstr>Jan-23</vt:lpstr>
      <vt:lpstr>Feb-23</vt:lpstr>
      <vt:lpstr>Feb-23 (2)</vt:lpstr>
      <vt:lpstr>Mar-23</vt:lpstr>
      <vt:lpstr>HT LINES</vt:lpstr>
      <vt:lpstr>'April-2021'!Print_Area</vt:lpstr>
      <vt:lpstr>'aug-2021'!Print_Area</vt:lpstr>
      <vt:lpstr>braz!Print_Area</vt:lpstr>
      <vt:lpstr>brc!Print_Area</vt:lpstr>
      <vt:lpstr>CIRCLE!Print_Area</vt:lpstr>
      <vt:lpstr>'dec-2021'!Print_Area</vt:lpstr>
      <vt:lpstr>'Feb-23'!Print_Area</vt:lpstr>
      <vt:lpstr>'Feb-23 (2)'!Print_Area</vt:lpstr>
      <vt:lpstr>'july-2021'!Print_Area</vt:lpstr>
      <vt:lpstr>'June-2021'!Print_Area</vt:lpstr>
      <vt:lpstr>kolar!Print_Area</vt:lpstr>
      <vt:lpstr>'Mar-23'!Print_Area</vt:lpstr>
      <vt:lpstr>'march 2020'!Print_Area</vt:lpstr>
      <vt:lpstr>'March-2021'!Print_Area</vt:lpstr>
      <vt:lpstr>'May-2021'!Print_Area</vt:lpstr>
      <vt:lpstr>'Nov-2021'!Print_Area</vt:lpstr>
      <vt:lpstr>'Oct-2021'!Print_Area</vt:lpstr>
      <vt:lpstr>ramanagr!Print_Area</vt:lpstr>
      <vt:lpstr>'Sep-2021'!Print_Area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2023-06-14T10:34:52Z</dcterms:modified>
</cp:coreProperties>
</file>