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tabRatio="733" firstSheet="9" activeTab="17"/>
  </bookViews>
  <sheets>
    <sheet name="march 2020" sheetId="40" state="hidden" r:id="rId1"/>
    <sheet name="Sheet1" sheetId="43" state="hidden" r:id="rId2"/>
    <sheet name="braz" sheetId="23" state="hidden" r:id="rId3"/>
    <sheet name="brc" sheetId="24" state="hidden" r:id="rId4"/>
    <sheet name="kolar" sheetId="25" state="hidden" r:id="rId5"/>
    <sheet name="ramanagr" sheetId="26" state="hidden" r:id="rId6"/>
    <sheet name="CIRCLE" sheetId="18" state="hidden" r:id="rId7"/>
    <sheet name="DIFF" sheetId="19" state="hidden" r:id="rId8"/>
    <sheet name="ht" sheetId="14" state="hidden" r:id="rId9"/>
    <sheet name="Sheet9" sheetId="62" r:id="rId10"/>
    <sheet name="April-2023" sheetId="57" r:id="rId11"/>
    <sheet name="May-2023" sheetId="58" r:id="rId12"/>
    <sheet name="June-2023" sheetId="59" r:id="rId13"/>
    <sheet name="July-2023" sheetId="60" r:id="rId14"/>
    <sheet name="Aug-2023" sheetId="61" r:id="rId15"/>
    <sheet name="Sep-2023" sheetId="56" r:id="rId16"/>
    <sheet name="Oct-2023" sheetId="63" r:id="rId17"/>
    <sheet name="Nov-2023" sheetId="64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2">braz!$A$1:$U$20</definedName>
    <definedName name="_xlnm.Print_Area" localSheetId="3">brc!$A$1:$U$9</definedName>
    <definedName name="_xlnm.Print_Area" localSheetId="6">CIRCLE!$A$1:$V$64</definedName>
    <definedName name="_xlnm.Print_Area" localSheetId="4">kolar!$A$1:$U$11</definedName>
    <definedName name="_xlnm.Print_Area" localSheetId="0">'march 2020'!$A$1:$U$56</definedName>
    <definedName name="_xlnm.Print_Area" localSheetId="17">'Nov-2023'!$A$1:$U$61</definedName>
    <definedName name="_xlnm.Print_Area" localSheetId="16">'Oct-2023'!$A$1:$U$62</definedName>
    <definedName name="_xlnm.Print_Area" localSheetId="5">ramanagr!$A$1:$U$11</definedName>
    <definedName name="_xlnm.Print_Area" localSheetId="15">'Sep-2023'!$A$1:$U$62</definedName>
  </definedNames>
  <calcPr calcId="144525"/>
</workbook>
</file>

<file path=xl/calcChain.xml><?xml version="1.0" encoding="utf-8"?>
<calcChain xmlns="http://schemas.openxmlformats.org/spreadsheetml/2006/main">
  <c r="H65" i="64" l="1"/>
  <c r="J53" i="64" l="1"/>
  <c r="R49" i="63"/>
  <c r="P49" i="63"/>
  <c r="L49" i="63"/>
  <c r="J49" i="63"/>
  <c r="F49" i="63"/>
  <c r="D49" i="63"/>
  <c r="T48" i="63"/>
  <c r="S48" i="63"/>
  <c r="Q48" i="63"/>
  <c r="O48" i="63"/>
  <c r="N48" i="63"/>
  <c r="M48" i="63"/>
  <c r="K48" i="63"/>
  <c r="I48" i="63"/>
  <c r="H48" i="63"/>
  <c r="U48" i="63" s="1"/>
  <c r="G48" i="63"/>
  <c r="E48" i="63"/>
  <c r="C48" i="63"/>
  <c r="S47" i="63"/>
  <c r="Q47" i="63"/>
  <c r="O47" i="63"/>
  <c r="T47" i="63" s="1"/>
  <c r="M47" i="63"/>
  <c r="K47" i="63"/>
  <c r="I47" i="63"/>
  <c r="N47" i="63" s="1"/>
  <c r="G47" i="63"/>
  <c r="E47" i="63"/>
  <c r="C47" i="63"/>
  <c r="H47" i="63" s="1"/>
  <c r="U47" i="63" s="1"/>
  <c r="T46" i="63"/>
  <c r="S46" i="63"/>
  <c r="Q46" i="63"/>
  <c r="Q49" i="63" s="1"/>
  <c r="O46" i="63"/>
  <c r="N46" i="63"/>
  <c r="M46" i="63"/>
  <c r="K46" i="63"/>
  <c r="K49" i="63" s="1"/>
  <c r="I46" i="63"/>
  <c r="H46" i="63"/>
  <c r="U46" i="63" s="1"/>
  <c r="G46" i="63"/>
  <c r="E46" i="63"/>
  <c r="E49" i="63" s="1"/>
  <c r="C46" i="63"/>
  <c r="S45" i="63"/>
  <c r="S49" i="63" s="1"/>
  <c r="Q45" i="63"/>
  <c r="O45" i="63"/>
  <c r="O49" i="63" s="1"/>
  <c r="M45" i="63"/>
  <c r="M49" i="63" s="1"/>
  <c r="K45" i="63"/>
  <c r="I45" i="63"/>
  <c r="N45" i="63" s="1"/>
  <c r="N49" i="63" s="1"/>
  <c r="G45" i="63"/>
  <c r="G49" i="63" s="1"/>
  <c r="E45" i="63"/>
  <c r="C45" i="63"/>
  <c r="C49" i="63" s="1"/>
  <c r="R44" i="63"/>
  <c r="R50" i="63" s="1"/>
  <c r="P44" i="63"/>
  <c r="P50" i="63" s="1"/>
  <c r="L44" i="63"/>
  <c r="L50" i="63" s="1"/>
  <c r="J44" i="63"/>
  <c r="J50" i="63" s="1"/>
  <c r="F44" i="63"/>
  <c r="F50" i="63" s="1"/>
  <c r="D44" i="63"/>
  <c r="D50" i="63" s="1"/>
  <c r="S43" i="63"/>
  <c r="Q43" i="63"/>
  <c r="O43" i="63"/>
  <c r="T43" i="63" s="1"/>
  <c r="M43" i="63"/>
  <c r="K43" i="63"/>
  <c r="I43" i="63"/>
  <c r="N43" i="63" s="1"/>
  <c r="G43" i="63"/>
  <c r="E43" i="63"/>
  <c r="C43" i="63"/>
  <c r="H43" i="63" s="1"/>
  <c r="T42" i="63"/>
  <c r="S42" i="63"/>
  <c r="Q42" i="63"/>
  <c r="O42" i="63"/>
  <c r="N42" i="63"/>
  <c r="M42" i="63"/>
  <c r="K42" i="63"/>
  <c r="I42" i="63"/>
  <c r="H42" i="63"/>
  <c r="U42" i="63" s="1"/>
  <c r="G42" i="63"/>
  <c r="E42" i="63"/>
  <c r="C42" i="63"/>
  <c r="S41" i="63"/>
  <c r="Q41" i="63"/>
  <c r="O41" i="63"/>
  <c r="T41" i="63" s="1"/>
  <c r="M41" i="63"/>
  <c r="K41" i="63"/>
  <c r="I41" i="63"/>
  <c r="N41" i="63" s="1"/>
  <c r="G41" i="63"/>
  <c r="E41" i="63"/>
  <c r="C41" i="63"/>
  <c r="H41" i="63" s="1"/>
  <c r="T40" i="63"/>
  <c r="T44" i="63" s="1"/>
  <c r="S40" i="63"/>
  <c r="S44" i="63" s="1"/>
  <c r="S50" i="63" s="1"/>
  <c r="Q40" i="63"/>
  <c r="Q44" i="63" s="1"/>
  <c r="Q50" i="63" s="1"/>
  <c r="O40" i="63"/>
  <c r="O44" i="63" s="1"/>
  <c r="O50" i="63" s="1"/>
  <c r="N40" i="63"/>
  <c r="N44" i="63" s="1"/>
  <c r="N50" i="63" s="1"/>
  <c r="M40" i="63"/>
  <c r="M44" i="63" s="1"/>
  <c r="K40" i="63"/>
  <c r="K44" i="63" s="1"/>
  <c r="K50" i="63" s="1"/>
  <c r="I40" i="63"/>
  <c r="I44" i="63" s="1"/>
  <c r="H40" i="63"/>
  <c r="H44" i="63" s="1"/>
  <c r="G40" i="63"/>
  <c r="G44" i="63" s="1"/>
  <c r="G50" i="63" s="1"/>
  <c r="E40" i="63"/>
  <c r="E44" i="63" s="1"/>
  <c r="E50" i="63" s="1"/>
  <c r="C40" i="63"/>
  <c r="C44" i="63" s="1"/>
  <c r="C50" i="63" s="1"/>
  <c r="R38" i="63"/>
  <c r="P38" i="63"/>
  <c r="L38" i="63"/>
  <c r="J38" i="63"/>
  <c r="F38" i="63"/>
  <c r="D38" i="63"/>
  <c r="S37" i="63"/>
  <c r="Q37" i="63"/>
  <c r="O37" i="63"/>
  <c r="T37" i="63" s="1"/>
  <c r="M37" i="63"/>
  <c r="K37" i="63"/>
  <c r="I37" i="63"/>
  <c r="N37" i="63" s="1"/>
  <c r="G37" i="63"/>
  <c r="E37" i="63"/>
  <c r="C37" i="63"/>
  <c r="H37" i="63" s="1"/>
  <c r="T36" i="63"/>
  <c r="S36" i="63"/>
  <c r="Q36" i="63"/>
  <c r="O36" i="63"/>
  <c r="N36" i="63"/>
  <c r="M36" i="63"/>
  <c r="K36" i="63"/>
  <c r="I36" i="63"/>
  <c r="H36" i="63"/>
  <c r="U36" i="63" s="1"/>
  <c r="G36" i="63"/>
  <c r="E36" i="63"/>
  <c r="C36" i="63"/>
  <c r="S35" i="63"/>
  <c r="Q35" i="63"/>
  <c r="O35" i="63"/>
  <c r="T35" i="63" s="1"/>
  <c r="M35" i="63"/>
  <c r="K35" i="63"/>
  <c r="I35" i="63"/>
  <c r="N35" i="63" s="1"/>
  <c r="G35" i="63"/>
  <c r="E35" i="63"/>
  <c r="C35" i="63"/>
  <c r="H35" i="63" s="1"/>
  <c r="T34" i="63"/>
  <c r="T38" i="63" s="1"/>
  <c r="S34" i="63"/>
  <c r="S38" i="63" s="1"/>
  <c r="Q34" i="63"/>
  <c r="Q38" i="63" s="1"/>
  <c r="O34" i="63"/>
  <c r="O38" i="63" s="1"/>
  <c r="N34" i="63"/>
  <c r="N38" i="63" s="1"/>
  <c r="M34" i="63"/>
  <c r="M38" i="63" s="1"/>
  <c r="K34" i="63"/>
  <c r="K38" i="63" s="1"/>
  <c r="I34" i="63"/>
  <c r="I38" i="63" s="1"/>
  <c r="H34" i="63"/>
  <c r="H38" i="63" s="1"/>
  <c r="G34" i="63"/>
  <c r="G38" i="63" s="1"/>
  <c r="E34" i="63"/>
  <c r="E38" i="63" s="1"/>
  <c r="C34" i="63"/>
  <c r="C38" i="63" s="1"/>
  <c r="R33" i="63"/>
  <c r="P33" i="63"/>
  <c r="L33" i="63"/>
  <c r="J33" i="63"/>
  <c r="F33" i="63"/>
  <c r="D33" i="63"/>
  <c r="T32" i="63"/>
  <c r="S32" i="63"/>
  <c r="Q32" i="63"/>
  <c r="O32" i="63"/>
  <c r="N32" i="63"/>
  <c r="M32" i="63"/>
  <c r="K32" i="63"/>
  <c r="I32" i="63"/>
  <c r="H32" i="63"/>
  <c r="U32" i="63" s="1"/>
  <c r="G32" i="63"/>
  <c r="E32" i="63"/>
  <c r="C32" i="63"/>
  <c r="S31" i="63"/>
  <c r="Q31" i="63"/>
  <c r="O31" i="63"/>
  <c r="T31" i="63" s="1"/>
  <c r="M31" i="63"/>
  <c r="K31" i="63"/>
  <c r="I31" i="63"/>
  <c r="N31" i="63" s="1"/>
  <c r="G31" i="63"/>
  <c r="E31" i="63"/>
  <c r="C31" i="63"/>
  <c r="H31" i="63" s="1"/>
  <c r="U31" i="63" s="1"/>
  <c r="T30" i="63"/>
  <c r="S30" i="63"/>
  <c r="Q30" i="63"/>
  <c r="Q33" i="63" s="1"/>
  <c r="O30" i="63"/>
  <c r="N30" i="63"/>
  <c r="M30" i="63"/>
  <c r="K30" i="63"/>
  <c r="K33" i="63" s="1"/>
  <c r="I30" i="63"/>
  <c r="H30" i="63"/>
  <c r="U30" i="63" s="1"/>
  <c r="G30" i="63"/>
  <c r="E30" i="63"/>
  <c r="E33" i="63" s="1"/>
  <c r="C30" i="63"/>
  <c r="S29" i="63"/>
  <c r="S33" i="63" s="1"/>
  <c r="Q29" i="63"/>
  <c r="O29" i="63"/>
  <c r="O33" i="63" s="1"/>
  <c r="M29" i="63"/>
  <c r="M33" i="63" s="1"/>
  <c r="K29" i="63"/>
  <c r="I29" i="63"/>
  <c r="N29" i="63" s="1"/>
  <c r="N33" i="63" s="1"/>
  <c r="G29" i="63"/>
  <c r="G33" i="63" s="1"/>
  <c r="E29" i="63"/>
  <c r="C29" i="63"/>
  <c r="C33" i="63" s="1"/>
  <c r="R28" i="63"/>
  <c r="R39" i="63" s="1"/>
  <c r="P28" i="63"/>
  <c r="P39" i="63" s="1"/>
  <c r="L28" i="63"/>
  <c r="L39" i="63" s="1"/>
  <c r="J28" i="63"/>
  <c r="J39" i="63" s="1"/>
  <c r="F28" i="63"/>
  <c r="F39" i="63" s="1"/>
  <c r="D28" i="63"/>
  <c r="D39" i="63" s="1"/>
  <c r="S27" i="63"/>
  <c r="Q27" i="63"/>
  <c r="O27" i="63"/>
  <c r="T27" i="63" s="1"/>
  <c r="M27" i="63"/>
  <c r="K27" i="63"/>
  <c r="I27" i="63"/>
  <c r="N27" i="63" s="1"/>
  <c r="G27" i="63"/>
  <c r="E27" i="63"/>
  <c r="C27" i="63"/>
  <c r="H27" i="63" s="1"/>
  <c r="U27" i="63" s="1"/>
  <c r="T26" i="63"/>
  <c r="S26" i="63"/>
  <c r="S28" i="63" s="1"/>
  <c r="S39" i="63" s="1"/>
  <c r="Q26" i="63"/>
  <c r="Q28" i="63" s="1"/>
  <c r="O26" i="63"/>
  <c r="O28" i="63" s="1"/>
  <c r="O39" i="63" s="1"/>
  <c r="N26" i="63"/>
  <c r="N28" i="63" s="1"/>
  <c r="M26" i="63"/>
  <c r="M28" i="63" s="1"/>
  <c r="M39" i="63" s="1"/>
  <c r="K26" i="63"/>
  <c r="K28" i="63" s="1"/>
  <c r="I26" i="63"/>
  <c r="I28" i="63" s="1"/>
  <c r="H26" i="63"/>
  <c r="U26" i="63" s="1"/>
  <c r="G26" i="63"/>
  <c r="G28" i="63" s="1"/>
  <c r="G39" i="63" s="1"/>
  <c r="E26" i="63"/>
  <c r="E28" i="63" s="1"/>
  <c r="C26" i="63"/>
  <c r="C28" i="63" s="1"/>
  <c r="C39" i="63" s="1"/>
  <c r="R24" i="63"/>
  <c r="P24" i="63"/>
  <c r="L24" i="63"/>
  <c r="J24" i="63"/>
  <c r="F24" i="63"/>
  <c r="D24" i="63"/>
  <c r="S23" i="63"/>
  <c r="Q23" i="63"/>
  <c r="O23" i="63"/>
  <c r="T23" i="63" s="1"/>
  <c r="M23" i="63"/>
  <c r="K23" i="63"/>
  <c r="I23" i="63"/>
  <c r="N23" i="63" s="1"/>
  <c r="G23" i="63"/>
  <c r="E23" i="63"/>
  <c r="C23" i="63"/>
  <c r="H23" i="63" s="1"/>
  <c r="T22" i="63"/>
  <c r="S22" i="63"/>
  <c r="Q22" i="63"/>
  <c r="O22" i="63"/>
  <c r="N22" i="63"/>
  <c r="M22" i="63"/>
  <c r="K22" i="63"/>
  <c r="I22" i="63"/>
  <c r="H22" i="63"/>
  <c r="U22" i="63" s="1"/>
  <c r="G22" i="63"/>
  <c r="E22" i="63"/>
  <c r="C22" i="63"/>
  <c r="S21" i="63"/>
  <c r="Q21" i="63"/>
  <c r="O21" i="63"/>
  <c r="T21" i="63" s="1"/>
  <c r="M21" i="63"/>
  <c r="K21" i="63"/>
  <c r="I21" i="63"/>
  <c r="N21" i="63" s="1"/>
  <c r="G21" i="63"/>
  <c r="E21" i="63"/>
  <c r="C21" i="63"/>
  <c r="H21" i="63" s="1"/>
  <c r="U21" i="63" s="1"/>
  <c r="T20" i="63"/>
  <c r="S20" i="63"/>
  <c r="S24" i="63" s="1"/>
  <c r="Q20" i="63"/>
  <c r="Q24" i="63" s="1"/>
  <c r="O20" i="63"/>
  <c r="O24" i="63" s="1"/>
  <c r="N20" i="63"/>
  <c r="M20" i="63"/>
  <c r="M24" i="63" s="1"/>
  <c r="K20" i="63"/>
  <c r="K24" i="63" s="1"/>
  <c r="I20" i="63"/>
  <c r="I24" i="63" s="1"/>
  <c r="H20" i="63"/>
  <c r="G20" i="63"/>
  <c r="G24" i="63" s="1"/>
  <c r="E20" i="63"/>
  <c r="E24" i="63" s="1"/>
  <c r="C20" i="63"/>
  <c r="C24" i="63" s="1"/>
  <c r="R19" i="63"/>
  <c r="P19" i="63"/>
  <c r="L19" i="63"/>
  <c r="J19" i="63"/>
  <c r="F19" i="63"/>
  <c r="D19" i="63"/>
  <c r="T18" i="63"/>
  <c r="S18" i="63"/>
  <c r="Q18" i="63"/>
  <c r="O18" i="63"/>
  <c r="N18" i="63"/>
  <c r="M18" i="63"/>
  <c r="K18" i="63"/>
  <c r="I18" i="63"/>
  <c r="H18" i="63"/>
  <c r="U18" i="63" s="1"/>
  <c r="G18" i="63"/>
  <c r="E18" i="63"/>
  <c r="C18" i="63"/>
  <c r="S17" i="63"/>
  <c r="S19" i="63" s="1"/>
  <c r="Q17" i="63"/>
  <c r="O17" i="63"/>
  <c r="T17" i="63" s="1"/>
  <c r="M17" i="63"/>
  <c r="M19" i="63" s="1"/>
  <c r="K17" i="63"/>
  <c r="I17" i="63"/>
  <c r="I19" i="63" s="1"/>
  <c r="G17" i="63"/>
  <c r="G19" i="63" s="1"/>
  <c r="E17" i="63"/>
  <c r="C17" i="63"/>
  <c r="H17" i="63" s="1"/>
  <c r="T16" i="63"/>
  <c r="T19" i="63" s="1"/>
  <c r="S16" i="63"/>
  <c r="Q16" i="63"/>
  <c r="Q19" i="63" s="1"/>
  <c r="O16" i="63"/>
  <c r="N16" i="63"/>
  <c r="M16" i="63"/>
  <c r="K16" i="63"/>
  <c r="K19" i="63" s="1"/>
  <c r="I16" i="63"/>
  <c r="H16" i="63"/>
  <c r="H19" i="63" s="1"/>
  <c r="G16" i="63"/>
  <c r="E16" i="63"/>
  <c r="E19" i="63" s="1"/>
  <c r="C16" i="63"/>
  <c r="R15" i="63"/>
  <c r="P15" i="63"/>
  <c r="L15" i="63"/>
  <c r="J15" i="63"/>
  <c r="F15" i="63"/>
  <c r="D15" i="63"/>
  <c r="T14" i="63"/>
  <c r="S14" i="63"/>
  <c r="Q14" i="63"/>
  <c r="O14" i="63"/>
  <c r="N14" i="63"/>
  <c r="M14" i="63"/>
  <c r="K14" i="63"/>
  <c r="I14" i="63"/>
  <c r="H14" i="63"/>
  <c r="U14" i="63" s="1"/>
  <c r="G14" i="63"/>
  <c r="E14" i="63"/>
  <c r="C14" i="63"/>
  <c r="S13" i="63"/>
  <c r="S15" i="63" s="1"/>
  <c r="Q13" i="63"/>
  <c r="O13" i="63"/>
  <c r="T13" i="63" s="1"/>
  <c r="M13" i="63"/>
  <c r="M15" i="63" s="1"/>
  <c r="K13" i="63"/>
  <c r="I13" i="63"/>
  <c r="I15" i="63" s="1"/>
  <c r="G13" i="63"/>
  <c r="G15" i="63" s="1"/>
  <c r="E13" i="63"/>
  <c r="C13" i="63"/>
  <c r="H13" i="63" s="1"/>
  <c r="T12" i="63"/>
  <c r="S12" i="63"/>
  <c r="Q12" i="63"/>
  <c r="Q15" i="63" s="1"/>
  <c r="O12" i="63"/>
  <c r="N12" i="63"/>
  <c r="M12" i="63"/>
  <c r="K12" i="63"/>
  <c r="K15" i="63" s="1"/>
  <c r="I12" i="63"/>
  <c r="H12" i="63"/>
  <c r="G12" i="63"/>
  <c r="E12" i="63"/>
  <c r="E15" i="63" s="1"/>
  <c r="C12" i="63"/>
  <c r="R11" i="63"/>
  <c r="R25" i="63" s="1"/>
  <c r="R51" i="63" s="1"/>
  <c r="P11" i="63"/>
  <c r="P25" i="63" s="1"/>
  <c r="P51" i="63" s="1"/>
  <c r="L11" i="63"/>
  <c r="L25" i="63" s="1"/>
  <c r="L51" i="63" s="1"/>
  <c r="J11" i="63"/>
  <c r="J25" i="63" s="1"/>
  <c r="J51" i="63" s="1"/>
  <c r="F11" i="63"/>
  <c r="F25" i="63" s="1"/>
  <c r="F51" i="63" s="1"/>
  <c r="D11" i="63"/>
  <c r="D25" i="63" s="1"/>
  <c r="D51" i="63" s="1"/>
  <c r="T10" i="63"/>
  <c r="S10" i="63"/>
  <c r="Q10" i="63"/>
  <c r="O10" i="63"/>
  <c r="N10" i="63"/>
  <c r="M10" i="63"/>
  <c r="K10" i="63"/>
  <c r="I10" i="63"/>
  <c r="H10" i="63"/>
  <c r="U10" i="63" s="1"/>
  <c r="G10" i="63"/>
  <c r="E10" i="63"/>
  <c r="C10" i="63"/>
  <c r="S9" i="63"/>
  <c r="Q9" i="63"/>
  <c r="O9" i="63"/>
  <c r="T9" i="63" s="1"/>
  <c r="M9" i="63"/>
  <c r="K9" i="63"/>
  <c r="I9" i="63"/>
  <c r="N9" i="63" s="1"/>
  <c r="G9" i="63"/>
  <c r="E9" i="63"/>
  <c r="C9" i="63"/>
  <c r="H9" i="63" s="1"/>
  <c r="T8" i="63"/>
  <c r="S8" i="63"/>
  <c r="Q8" i="63"/>
  <c r="Q11" i="63" s="1"/>
  <c r="Q25" i="63" s="1"/>
  <c r="O8" i="63"/>
  <c r="N8" i="63"/>
  <c r="M8" i="63"/>
  <c r="K8" i="63"/>
  <c r="K11" i="63" s="1"/>
  <c r="K25" i="63" s="1"/>
  <c r="I8" i="63"/>
  <c r="H8" i="63"/>
  <c r="U8" i="63" s="1"/>
  <c r="G8" i="63"/>
  <c r="E8" i="63"/>
  <c r="E11" i="63" s="1"/>
  <c r="E25" i="63" s="1"/>
  <c r="C8" i="63"/>
  <c r="S7" i="63"/>
  <c r="S11" i="63" s="1"/>
  <c r="S25" i="63" s="1"/>
  <c r="S51" i="63" s="1"/>
  <c r="Q7" i="63"/>
  <c r="O7" i="63"/>
  <c r="O11" i="63" s="1"/>
  <c r="M7" i="63"/>
  <c r="M11" i="63" s="1"/>
  <c r="K7" i="63"/>
  <c r="I7" i="63"/>
  <c r="N7" i="63" s="1"/>
  <c r="G7" i="63"/>
  <c r="G11" i="63" s="1"/>
  <c r="G25" i="63" s="1"/>
  <c r="G51" i="63" s="1"/>
  <c r="E7" i="63"/>
  <c r="C7" i="63"/>
  <c r="C11" i="63" s="1"/>
  <c r="M58" i="64" l="1"/>
  <c r="M61" i="64"/>
  <c r="M57" i="64"/>
  <c r="H61" i="64"/>
  <c r="M55" i="64"/>
  <c r="M60" i="64"/>
  <c r="J54" i="64"/>
  <c r="M25" i="63"/>
  <c r="M51" i="63" s="1"/>
  <c r="U9" i="63"/>
  <c r="H24" i="63"/>
  <c r="N24" i="63"/>
  <c r="T24" i="63"/>
  <c r="U28" i="63"/>
  <c r="N39" i="63"/>
  <c r="T28" i="63"/>
  <c r="U35" i="63"/>
  <c r="U41" i="63"/>
  <c r="I39" i="63"/>
  <c r="U37" i="63"/>
  <c r="U43" i="63"/>
  <c r="Q51" i="63"/>
  <c r="N11" i="63"/>
  <c r="H15" i="63"/>
  <c r="N15" i="63"/>
  <c r="T15" i="63"/>
  <c r="U23" i="63"/>
  <c r="E39" i="63"/>
  <c r="E51" i="63" s="1"/>
  <c r="K39" i="63"/>
  <c r="K51" i="63" s="1"/>
  <c r="Q39" i="63"/>
  <c r="M50" i="63"/>
  <c r="U13" i="63"/>
  <c r="T50" i="63"/>
  <c r="I11" i="63"/>
  <c r="I25" i="63" s="1"/>
  <c r="C15" i="63"/>
  <c r="C25" i="63" s="1"/>
  <c r="C51" i="63" s="1"/>
  <c r="O15" i="63"/>
  <c r="O25" i="63" s="1"/>
  <c r="O51" i="63" s="1"/>
  <c r="H7" i="63"/>
  <c r="T7" i="63"/>
  <c r="T11" i="63" s="1"/>
  <c r="U12" i="63"/>
  <c r="U15" i="63" s="1"/>
  <c r="N13" i="63"/>
  <c r="U20" i="63"/>
  <c r="U24" i="63" s="1"/>
  <c r="U40" i="63"/>
  <c r="C19" i="63"/>
  <c r="O19" i="63"/>
  <c r="H28" i="63"/>
  <c r="I33" i="63"/>
  <c r="I49" i="63"/>
  <c r="I50" i="63" s="1"/>
  <c r="U16" i="63"/>
  <c r="N17" i="63"/>
  <c r="N19" i="63" s="1"/>
  <c r="H29" i="63"/>
  <c r="T29" i="63"/>
  <c r="T33" i="63" s="1"/>
  <c r="U34" i="63"/>
  <c r="H45" i="63"/>
  <c r="T45" i="63"/>
  <c r="T49" i="63" s="1"/>
  <c r="J55" i="64" l="1"/>
  <c r="U45" i="63"/>
  <c r="U49" i="63" s="1"/>
  <c r="H49" i="63"/>
  <c r="H50" i="63" s="1"/>
  <c r="H39" i="63"/>
  <c r="H11" i="63"/>
  <c r="H25" i="63" s="1"/>
  <c r="U7" i="63"/>
  <c r="U11" i="63" s="1"/>
  <c r="U25" i="63" s="1"/>
  <c r="U17" i="63"/>
  <c r="N25" i="63"/>
  <c r="N51" i="63" s="1"/>
  <c r="U38" i="63"/>
  <c r="U19" i="63"/>
  <c r="U29" i="63"/>
  <c r="U33" i="63" s="1"/>
  <c r="U39" i="63" s="1"/>
  <c r="H33" i="63"/>
  <c r="U44" i="63"/>
  <c r="U50" i="63" s="1"/>
  <c r="T25" i="63"/>
  <c r="I51" i="63"/>
  <c r="T39" i="63"/>
  <c r="H51" i="63" l="1"/>
  <c r="T51" i="63"/>
  <c r="U51" i="63"/>
  <c r="H66" i="63" l="1"/>
  <c r="R50" i="61" l="1"/>
  <c r="R51" i="61" s="1"/>
  <c r="J50" i="61"/>
  <c r="F50" i="61"/>
  <c r="R49" i="61"/>
  <c r="P49" i="61"/>
  <c r="L49" i="61"/>
  <c r="J49" i="61"/>
  <c r="F49" i="61"/>
  <c r="D49" i="61"/>
  <c r="T48" i="61"/>
  <c r="S48" i="61"/>
  <c r="Q48" i="61"/>
  <c r="O48" i="61"/>
  <c r="N48" i="61"/>
  <c r="M48" i="61"/>
  <c r="K48" i="61"/>
  <c r="I48" i="61"/>
  <c r="H48" i="61"/>
  <c r="U48" i="61" s="1"/>
  <c r="G48" i="61"/>
  <c r="E48" i="61"/>
  <c r="C48" i="61"/>
  <c r="S47" i="61"/>
  <c r="Q47" i="61"/>
  <c r="O47" i="61"/>
  <c r="T47" i="61" s="1"/>
  <c r="M47" i="61"/>
  <c r="K47" i="61"/>
  <c r="I47" i="61"/>
  <c r="I49" i="61" s="1"/>
  <c r="I50" i="61" s="1"/>
  <c r="G47" i="61"/>
  <c r="E47" i="61"/>
  <c r="C47" i="61"/>
  <c r="H47" i="61" s="1"/>
  <c r="T46" i="61"/>
  <c r="S46" i="61"/>
  <c r="Q46" i="61"/>
  <c r="Q49" i="61" s="1"/>
  <c r="Q50" i="61" s="1"/>
  <c r="O46" i="61"/>
  <c r="N46" i="61"/>
  <c r="M46" i="61"/>
  <c r="K46" i="61"/>
  <c r="K49" i="61" s="1"/>
  <c r="K50" i="61" s="1"/>
  <c r="I46" i="61"/>
  <c r="H46" i="61"/>
  <c r="U46" i="61" s="1"/>
  <c r="G46" i="61"/>
  <c r="E46" i="61"/>
  <c r="E49" i="61" s="1"/>
  <c r="E50" i="61" s="1"/>
  <c r="C46" i="61"/>
  <c r="S45" i="61"/>
  <c r="S49" i="61" s="1"/>
  <c r="Q45" i="61"/>
  <c r="O45" i="61"/>
  <c r="O49" i="61" s="1"/>
  <c r="M45" i="61"/>
  <c r="M49" i="61" s="1"/>
  <c r="K45" i="61"/>
  <c r="I45" i="61"/>
  <c r="N45" i="61" s="1"/>
  <c r="G45" i="61"/>
  <c r="G49" i="61" s="1"/>
  <c r="E45" i="61"/>
  <c r="C45" i="61"/>
  <c r="C49" i="61" s="1"/>
  <c r="R44" i="61"/>
  <c r="P44" i="61"/>
  <c r="P50" i="61" s="1"/>
  <c r="L44" i="61"/>
  <c r="L50" i="61" s="1"/>
  <c r="J44" i="61"/>
  <c r="F44" i="61"/>
  <c r="D44" i="61"/>
  <c r="D50" i="61" s="1"/>
  <c r="S43" i="61"/>
  <c r="Q43" i="61"/>
  <c r="O43" i="61"/>
  <c r="T43" i="61" s="1"/>
  <c r="M43" i="61"/>
  <c r="K43" i="61"/>
  <c r="I43" i="61"/>
  <c r="N43" i="61" s="1"/>
  <c r="G43" i="61"/>
  <c r="E43" i="61"/>
  <c r="C43" i="61"/>
  <c r="H43" i="61" s="1"/>
  <c r="T42" i="61"/>
  <c r="S42" i="61"/>
  <c r="Q42" i="61"/>
  <c r="O42" i="61"/>
  <c r="N42" i="61"/>
  <c r="M42" i="61"/>
  <c r="K42" i="61"/>
  <c r="I42" i="61"/>
  <c r="H42" i="61"/>
  <c r="U42" i="61" s="1"/>
  <c r="G42" i="61"/>
  <c r="E42" i="61"/>
  <c r="C42" i="61"/>
  <c r="S41" i="61"/>
  <c r="Q41" i="61"/>
  <c r="O41" i="61"/>
  <c r="T41" i="61" s="1"/>
  <c r="T44" i="61" s="1"/>
  <c r="M41" i="61"/>
  <c r="K41" i="61"/>
  <c r="I41" i="61"/>
  <c r="I44" i="61" s="1"/>
  <c r="G41" i="61"/>
  <c r="E41" i="61"/>
  <c r="C41" i="61"/>
  <c r="H41" i="61" s="1"/>
  <c r="T40" i="61"/>
  <c r="S40" i="61"/>
  <c r="S44" i="61" s="1"/>
  <c r="Q40" i="61"/>
  <c r="Q44" i="61" s="1"/>
  <c r="O40" i="61"/>
  <c r="O44" i="61" s="1"/>
  <c r="N40" i="61"/>
  <c r="M40" i="61"/>
  <c r="M44" i="61" s="1"/>
  <c r="K40" i="61"/>
  <c r="K44" i="61" s="1"/>
  <c r="I40" i="61"/>
  <c r="H40" i="61"/>
  <c r="U40" i="61" s="1"/>
  <c r="G40" i="61"/>
  <c r="G44" i="61" s="1"/>
  <c r="E40" i="61"/>
  <c r="E44" i="61" s="1"/>
  <c r="C40" i="61"/>
  <c r="C44" i="61" s="1"/>
  <c r="R38" i="61"/>
  <c r="R39" i="61" s="1"/>
  <c r="P38" i="61"/>
  <c r="P39" i="61" s="1"/>
  <c r="L38" i="61"/>
  <c r="L39" i="61" s="1"/>
  <c r="J38" i="61"/>
  <c r="J39" i="61" s="1"/>
  <c r="F38" i="61"/>
  <c r="F39" i="61" s="1"/>
  <c r="S37" i="61"/>
  <c r="Q37" i="61"/>
  <c r="O37" i="61"/>
  <c r="T37" i="61" s="1"/>
  <c r="M37" i="61"/>
  <c r="K37" i="61"/>
  <c r="I37" i="61"/>
  <c r="N37" i="61" s="1"/>
  <c r="G37" i="61"/>
  <c r="E37" i="61"/>
  <c r="D37" i="61"/>
  <c r="D38" i="61" s="1"/>
  <c r="D39" i="61" s="1"/>
  <c r="C37" i="61"/>
  <c r="H37" i="61" s="1"/>
  <c r="S36" i="61"/>
  <c r="Q36" i="61"/>
  <c r="O36" i="61"/>
  <c r="T36" i="61" s="1"/>
  <c r="M36" i="61"/>
  <c r="K36" i="61"/>
  <c r="I36" i="61"/>
  <c r="N36" i="61" s="1"/>
  <c r="G36" i="61"/>
  <c r="E36" i="61"/>
  <c r="C36" i="61"/>
  <c r="H36" i="61" s="1"/>
  <c r="T35" i="61"/>
  <c r="S35" i="61"/>
  <c r="Q35" i="61"/>
  <c r="O35" i="61"/>
  <c r="N35" i="61"/>
  <c r="M35" i="61"/>
  <c r="K35" i="61"/>
  <c r="I35" i="61"/>
  <c r="H35" i="61"/>
  <c r="U35" i="61" s="1"/>
  <c r="G35" i="61"/>
  <c r="E35" i="61"/>
  <c r="C35" i="61"/>
  <c r="S34" i="61"/>
  <c r="S38" i="61" s="1"/>
  <c r="Q34" i="61"/>
  <c r="Q38" i="61" s="1"/>
  <c r="Q39" i="61" s="1"/>
  <c r="O34" i="61"/>
  <c r="O38" i="61" s="1"/>
  <c r="M34" i="61"/>
  <c r="M38" i="61" s="1"/>
  <c r="K34" i="61"/>
  <c r="K38" i="61" s="1"/>
  <c r="I34" i="61"/>
  <c r="I38" i="61" s="1"/>
  <c r="G34" i="61"/>
  <c r="G38" i="61" s="1"/>
  <c r="E34" i="61"/>
  <c r="E38" i="61" s="1"/>
  <c r="E39" i="61" s="1"/>
  <c r="C34" i="61"/>
  <c r="C38" i="61" s="1"/>
  <c r="R33" i="61"/>
  <c r="P33" i="61"/>
  <c r="L33" i="61"/>
  <c r="J33" i="61"/>
  <c r="F33" i="61"/>
  <c r="D33" i="61"/>
  <c r="S32" i="61"/>
  <c r="Q32" i="61"/>
  <c r="O32" i="61"/>
  <c r="T32" i="61" s="1"/>
  <c r="M32" i="61"/>
  <c r="K32" i="61"/>
  <c r="I32" i="61"/>
  <c r="N32" i="61" s="1"/>
  <c r="G32" i="61"/>
  <c r="E32" i="61"/>
  <c r="C32" i="61"/>
  <c r="H32" i="61" s="1"/>
  <c r="T31" i="61"/>
  <c r="S31" i="61"/>
  <c r="Q31" i="61"/>
  <c r="O31" i="61"/>
  <c r="N31" i="61"/>
  <c r="M31" i="61"/>
  <c r="K31" i="61"/>
  <c r="I31" i="61"/>
  <c r="H31" i="61"/>
  <c r="U31" i="61" s="1"/>
  <c r="G31" i="61"/>
  <c r="E31" i="61"/>
  <c r="C31" i="61"/>
  <c r="T30" i="61"/>
  <c r="S30" i="61"/>
  <c r="S33" i="61" s="1"/>
  <c r="Q30" i="61"/>
  <c r="O30" i="61"/>
  <c r="N30" i="61"/>
  <c r="M30" i="61"/>
  <c r="K30" i="61"/>
  <c r="I30" i="61"/>
  <c r="H30" i="61"/>
  <c r="U30" i="61" s="1"/>
  <c r="G30" i="61"/>
  <c r="G33" i="61" s="1"/>
  <c r="E30" i="61"/>
  <c r="C30" i="61"/>
  <c r="T29" i="61"/>
  <c r="S29" i="61"/>
  <c r="Q29" i="61"/>
  <c r="Q33" i="61" s="1"/>
  <c r="O29" i="61"/>
  <c r="O33" i="61" s="1"/>
  <c r="N29" i="61"/>
  <c r="N33" i="61" s="1"/>
  <c r="M29" i="61"/>
  <c r="M33" i="61" s="1"/>
  <c r="K29" i="61"/>
  <c r="K33" i="61" s="1"/>
  <c r="I29" i="61"/>
  <c r="I33" i="61" s="1"/>
  <c r="H29" i="61"/>
  <c r="G29" i="61"/>
  <c r="E29" i="61"/>
  <c r="E33" i="61" s="1"/>
  <c r="C29" i="61"/>
  <c r="C33" i="61" s="1"/>
  <c r="R28" i="61"/>
  <c r="Q28" i="61"/>
  <c r="P28" i="61"/>
  <c r="M28" i="61"/>
  <c r="L28" i="61"/>
  <c r="J28" i="61"/>
  <c r="F28" i="61"/>
  <c r="E28" i="61"/>
  <c r="D28" i="61"/>
  <c r="T27" i="61"/>
  <c r="S27" i="61"/>
  <c r="Q27" i="61"/>
  <c r="O27" i="61"/>
  <c r="N27" i="61"/>
  <c r="M27" i="61"/>
  <c r="K27" i="61"/>
  <c r="I27" i="61"/>
  <c r="H27" i="61"/>
  <c r="U27" i="61" s="1"/>
  <c r="G27" i="61"/>
  <c r="E27" i="61"/>
  <c r="C27" i="61"/>
  <c r="S26" i="61"/>
  <c r="S28" i="61" s="1"/>
  <c r="Q26" i="61"/>
  <c r="O26" i="61"/>
  <c r="O28" i="61" s="1"/>
  <c r="M26" i="61"/>
  <c r="K26" i="61"/>
  <c r="K28" i="61" s="1"/>
  <c r="I26" i="61"/>
  <c r="I28" i="61" s="1"/>
  <c r="G26" i="61"/>
  <c r="G28" i="61" s="1"/>
  <c r="E26" i="61"/>
  <c r="C26" i="61"/>
  <c r="C28" i="61" s="1"/>
  <c r="R24" i="61"/>
  <c r="P24" i="61"/>
  <c r="L24" i="61"/>
  <c r="J24" i="61"/>
  <c r="F24" i="61"/>
  <c r="D24" i="61"/>
  <c r="T23" i="61"/>
  <c r="S23" i="61"/>
  <c r="Q23" i="61"/>
  <c r="O23" i="61"/>
  <c r="N23" i="61"/>
  <c r="M23" i="61"/>
  <c r="K23" i="61"/>
  <c r="I23" i="61"/>
  <c r="H23" i="61"/>
  <c r="U23" i="61" s="1"/>
  <c r="G23" i="61"/>
  <c r="E23" i="61"/>
  <c r="C23" i="61"/>
  <c r="S22" i="61"/>
  <c r="Q22" i="61"/>
  <c r="O22" i="61"/>
  <c r="T22" i="61" s="1"/>
  <c r="M22" i="61"/>
  <c r="K22" i="61"/>
  <c r="I22" i="61"/>
  <c r="I24" i="61" s="1"/>
  <c r="G22" i="61"/>
  <c r="E22" i="61"/>
  <c r="C22" i="61"/>
  <c r="H22" i="61" s="1"/>
  <c r="T21" i="61"/>
  <c r="S21" i="61"/>
  <c r="Q21" i="61"/>
  <c r="Q24" i="61" s="1"/>
  <c r="O21" i="61"/>
  <c r="N21" i="61"/>
  <c r="M21" i="61"/>
  <c r="K21" i="61"/>
  <c r="K24" i="61" s="1"/>
  <c r="I21" i="61"/>
  <c r="H21" i="61"/>
  <c r="U21" i="61" s="1"/>
  <c r="G21" i="61"/>
  <c r="E21" i="61"/>
  <c r="E24" i="61" s="1"/>
  <c r="C21" i="61"/>
  <c r="S20" i="61"/>
  <c r="S24" i="61" s="1"/>
  <c r="Q20" i="61"/>
  <c r="O20" i="61"/>
  <c r="O24" i="61" s="1"/>
  <c r="M20" i="61"/>
  <c r="M24" i="61" s="1"/>
  <c r="K20" i="61"/>
  <c r="I20" i="61"/>
  <c r="N20" i="61" s="1"/>
  <c r="G20" i="61"/>
  <c r="G24" i="61" s="1"/>
  <c r="E20" i="61"/>
  <c r="C20" i="61"/>
  <c r="C24" i="61" s="1"/>
  <c r="R19" i="61"/>
  <c r="P19" i="61"/>
  <c r="L19" i="61"/>
  <c r="J19" i="61"/>
  <c r="F19" i="61"/>
  <c r="D19" i="61"/>
  <c r="S18" i="61"/>
  <c r="Q18" i="61"/>
  <c r="O18" i="61"/>
  <c r="T18" i="61" s="1"/>
  <c r="M18" i="61"/>
  <c r="K18" i="61"/>
  <c r="I18" i="61"/>
  <c r="N18" i="61" s="1"/>
  <c r="G18" i="61"/>
  <c r="E18" i="61"/>
  <c r="C18" i="61"/>
  <c r="H18" i="61" s="1"/>
  <c r="U18" i="61" s="1"/>
  <c r="T17" i="61"/>
  <c r="S17" i="61"/>
  <c r="Q17" i="61"/>
  <c r="O17" i="61"/>
  <c r="N17" i="61"/>
  <c r="M17" i="61"/>
  <c r="K17" i="61"/>
  <c r="I17" i="61"/>
  <c r="H17" i="61"/>
  <c r="U17" i="61" s="1"/>
  <c r="G17" i="61"/>
  <c r="E17" i="61"/>
  <c r="C17" i="61"/>
  <c r="S16" i="61"/>
  <c r="S19" i="61" s="1"/>
  <c r="Q16" i="61"/>
  <c r="Q19" i="61" s="1"/>
  <c r="O16" i="61"/>
  <c r="M16" i="61"/>
  <c r="K16" i="61"/>
  <c r="K19" i="61" s="1"/>
  <c r="I16" i="61"/>
  <c r="G16" i="61"/>
  <c r="G19" i="61" s="1"/>
  <c r="E16" i="61"/>
  <c r="E19" i="61" s="1"/>
  <c r="C16" i="61"/>
  <c r="R15" i="61"/>
  <c r="R25" i="61" s="1"/>
  <c r="P15" i="61"/>
  <c r="L15" i="61"/>
  <c r="F15" i="61"/>
  <c r="F25" i="61" s="1"/>
  <c r="D15" i="61"/>
  <c r="S14" i="61"/>
  <c r="Q14" i="61"/>
  <c r="O14" i="61"/>
  <c r="T14" i="61" s="1"/>
  <c r="M14" i="61"/>
  <c r="K14" i="61"/>
  <c r="J14" i="61"/>
  <c r="I14" i="61"/>
  <c r="H14" i="61"/>
  <c r="G14" i="61"/>
  <c r="E14" i="61"/>
  <c r="C14" i="61"/>
  <c r="S13" i="61"/>
  <c r="Q13" i="61"/>
  <c r="O13" i="61"/>
  <c r="T13" i="61" s="1"/>
  <c r="M13" i="61"/>
  <c r="K13" i="61"/>
  <c r="J13" i="61"/>
  <c r="I13" i="61"/>
  <c r="N13" i="61" s="1"/>
  <c r="H13" i="61"/>
  <c r="G13" i="61"/>
  <c r="E13" i="61"/>
  <c r="C13" i="61"/>
  <c r="C15" i="61" s="1"/>
  <c r="S12" i="61"/>
  <c r="S15" i="61" s="1"/>
  <c r="Q12" i="61"/>
  <c r="Q15" i="61" s="1"/>
  <c r="O12" i="61"/>
  <c r="M12" i="61"/>
  <c r="M15" i="61" s="1"/>
  <c r="K12" i="61"/>
  <c r="K15" i="61" s="1"/>
  <c r="J12" i="61"/>
  <c r="J15" i="61" s="1"/>
  <c r="J25" i="61" s="1"/>
  <c r="I12" i="61"/>
  <c r="I15" i="61" s="1"/>
  <c r="H12" i="61"/>
  <c r="H15" i="61" s="1"/>
  <c r="G12" i="61"/>
  <c r="G15" i="61" s="1"/>
  <c r="E12" i="61"/>
  <c r="C12" i="61"/>
  <c r="R11" i="61"/>
  <c r="P11" i="61"/>
  <c r="L11" i="61"/>
  <c r="J11" i="61"/>
  <c r="F11" i="61"/>
  <c r="D11" i="61"/>
  <c r="T10" i="61"/>
  <c r="S10" i="61"/>
  <c r="Q10" i="61"/>
  <c r="O10" i="61"/>
  <c r="N10" i="61"/>
  <c r="M10" i="61"/>
  <c r="M11" i="61" s="1"/>
  <c r="K10" i="61"/>
  <c r="I10" i="61"/>
  <c r="H10" i="61"/>
  <c r="U10" i="61" s="1"/>
  <c r="G10" i="61"/>
  <c r="G11" i="61" s="1"/>
  <c r="E10" i="61"/>
  <c r="C10" i="61"/>
  <c r="T9" i="61"/>
  <c r="S9" i="61"/>
  <c r="Q9" i="61"/>
  <c r="O9" i="61"/>
  <c r="N9" i="61"/>
  <c r="M9" i="61"/>
  <c r="K9" i="61"/>
  <c r="I9" i="61"/>
  <c r="H9" i="61"/>
  <c r="U9" i="61" s="1"/>
  <c r="G9" i="61"/>
  <c r="E9" i="61"/>
  <c r="C9" i="61"/>
  <c r="S8" i="61"/>
  <c r="Q8" i="61"/>
  <c r="O8" i="61"/>
  <c r="T8" i="61" s="1"/>
  <c r="M8" i="61"/>
  <c r="K8" i="61"/>
  <c r="I8" i="61"/>
  <c r="I11" i="61" s="1"/>
  <c r="G8" i="61"/>
  <c r="E8" i="61"/>
  <c r="C8" i="61"/>
  <c r="H8" i="61" s="1"/>
  <c r="S7" i="61"/>
  <c r="S11" i="61" s="1"/>
  <c r="Q7" i="61"/>
  <c r="Q11" i="61" s="1"/>
  <c r="O7" i="61"/>
  <c r="T7" i="61" s="1"/>
  <c r="T11" i="61" s="1"/>
  <c r="M7" i="61"/>
  <c r="K7" i="61"/>
  <c r="K11" i="61" s="1"/>
  <c r="I7" i="61"/>
  <c r="N7" i="61" s="1"/>
  <c r="H7" i="61"/>
  <c r="H11" i="61" s="1"/>
  <c r="G7" i="61"/>
  <c r="E7" i="61"/>
  <c r="E11" i="61" s="1"/>
  <c r="C7" i="61"/>
  <c r="P50" i="60"/>
  <c r="P51" i="60" s="1"/>
  <c r="L50" i="60"/>
  <c r="R49" i="60"/>
  <c r="R50" i="60" s="1"/>
  <c r="P49" i="60"/>
  <c r="O49" i="60"/>
  <c r="O50" i="60" s="1"/>
  <c r="L49" i="60"/>
  <c r="J49" i="60"/>
  <c r="J50" i="60" s="1"/>
  <c r="I49" i="60"/>
  <c r="I50" i="60" s="1"/>
  <c r="F49" i="60"/>
  <c r="F50" i="60" s="1"/>
  <c r="D49" i="60"/>
  <c r="C49" i="60"/>
  <c r="C50" i="60" s="1"/>
  <c r="C51" i="60" s="1"/>
  <c r="T48" i="60"/>
  <c r="S48" i="60"/>
  <c r="Q48" i="60"/>
  <c r="N48" i="60"/>
  <c r="M48" i="60"/>
  <c r="K48" i="60"/>
  <c r="H48" i="60"/>
  <c r="U48" i="60" s="1"/>
  <c r="G48" i="60"/>
  <c r="E48" i="60"/>
  <c r="T47" i="60"/>
  <c r="S47" i="60"/>
  <c r="Q47" i="60"/>
  <c r="N47" i="60"/>
  <c r="M47" i="60"/>
  <c r="K47" i="60"/>
  <c r="H47" i="60"/>
  <c r="U47" i="60" s="1"/>
  <c r="G47" i="60"/>
  <c r="E47" i="60"/>
  <c r="T46" i="60"/>
  <c r="S46" i="60"/>
  <c r="Q46" i="60"/>
  <c r="N46" i="60"/>
  <c r="N49" i="60" s="1"/>
  <c r="M46" i="60"/>
  <c r="K46" i="60"/>
  <c r="H46" i="60"/>
  <c r="U46" i="60" s="1"/>
  <c r="G46" i="60"/>
  <c r="G49" i="60" s="1"/>
  <c r="G50" i="60" s="1"/>
  <c r="E46" i="60"/>
  <c r="T45" i="60"/>
  <c r="T49" i="60" s="1"/>
  <c r="S45" i="60"/>
  <c r="S49" i="60" s="1"/>
  <c r="Q45" i="60"/>
  <c r="Q49" i="60" s="1"/>
  <c r="Q50" i="60" s="1"/>
  <c r="N45" i="60"/>
  <c r="M45" i="60"/>
  <c r="M49" i="60" s="1"/>
  <c r="K45" i="60"/>
  <c r="K49" i="60" s="1"/>
  <c r="H45" i="60"/>
  <c r="H49" i="60" s="1"/>
  <c r="G45" i="60"/>
  <c r="E45" i="60"/>
  <c r="E49" i="60" s="1"/>
  <c r="R44" i="60"/>
  <c r="P44" i="60"/>
  <c r="O44" i="60"/>
  <c r="L44" i="60"/>
  <c r="J44" i="60"/>
  <c r="I44" i="60"/>
  <c r="F44" i="60"/>
  <c r="C44" i="60"/>
  <c r="T43" i="60"/>
  <c r="S43" i="60"/>
  <c r="Q43" i="60"/>
  <c r="N43" i="60"/>
  <c r="M43" i="60"/>
  <c r="K43" i="60"/>
  <c r="G43" i="60"/>
  <c r="E43" i="60"/>
  <c r="D43" i="60"/>
  <c r="D44" i="60" s="1"/>
  <c r="D50" i="60" s="1"/>
  <c r="T42" i="60"/>
  <c r="S42" i="60"/>
  <c r="Q42" i="60"/>
  <c r="N42" i="60"/>
  <c r="M42" i="60"/>
  <c r="K42" i="60"/>
  <c r="H42" i="60"/>
  <c r="U42" i="60" s="1"/>
  <c r="G42" i="60"/>
  <c r="E42" i="60"/>
  <c r="T41" i="60"/>
  <c r="S41" i="60"/>
  <c r="Q41" i="60"/>
  <c r="Q44" i="60" s="1"/>
  <c r="N41" i="60"/>
  <c r="N44" i="60" s="1"/>
  <c r="M41" i="60"/>
  <c r="K41" i="60"/>
  <c r="H41" i="60"/>
  <c r="U41" i="60" s="1"/>
  <c r="G41" i="60"/>
  <c r="E41" i="60"/>
  <c r="T40" i="60"/>
  <c r="T44" i="60" s="1"/>
  <c r="S40" i="60"/>
  <c r="S44" i="60" s="1"/>
  <c r="Q40" i="60"/>
  <c r="N40" i="60"/>
  <c r="M40" i="60"/>
  <c r="M44" i="60" s="1"/>
  <c r="K40" i="60"/>
  <c r="K44" i="60" s="1"/>
  <c r="H40" i="60"/>
  <c r="G40" i="60"/>
  <c r="G44" i="60" s="1"/>
  <c r="E40" i="60"/>
  <c r="E44" i="60" s="1"/>
  <c r="R39" i="60"/>
  <c r="J39" i="60"/>
  <c r="F39" i="60"/>
  <c r="R38" i="60"/>
  <c r="P38" i="60"/>
  <c r="P39" i="60" s="1"/>
  <c r="O38" i="60"/>
  <c r="O39" i="60" s="1"/>
  <c r="L38" i="60"/>
  <c r="L39" i="60" s="1"/>
  <c r="J38" i="60"/>
  <c r="I38" i="60"/>
  <c r="I39" i="60" s="1"/>
  <c r="F38" i="60"/>
  <c r="C38" i="60"/>
  <c r="C39" i="60" s="1"/>
  <c r="T37" i="60"/>
  <c r="S37" i="60"/>
  <c r="Q37" i="60"/>
  <c r="N37" i="60"/>
  <c r="M37" i="60"/>
  <c r="K37" i="60"/>
  <c r="G37" i="60"/>
  <c r="E37" i="60"/>
  <c r="D37" i="60"/>
  <c r="D38" i="60" s="1"/>
  <c r="D39" i="60" s="1"/>
  <c r="T36" i="60"/>
  <c r="S36" i="60"/>
  <c r="Q36" i="60"/>
  <c r="N36" i="60"/>
  <c r="M36" i="60"/>
  <c r="K36" i="60"/>
  <c r="H36" i="60"/>
  <c r="U36" i="60" s="1"/>
  <c r="G36" i="60"/>
  <c r="E36" i="60"/>
  <c r="T35" i="60"/>
  <c r="T38" i="60" s="1"/>
  <c r="T39" i="60" s="1"/>
  <c r="S35" i="60"/>
  <c r="Q35" i="60"/>
  <c r="N35" i="60"/>
  <c r="U35" i="60" s="1"/>
  <c r="M35" i="60"/>
  <c r="M38" i="60" s="1"/>
  <c r="M39" i="60" s="1"/>
  <c r="K35" i="60"/>
  <c r="H35" i="60"/>
  <c r="G35" i="60"/>
  <c r="E35" i="60"/>
  <c r="E38" i="60" s="1"/>
  <c r="E39" i="60" s="1"/>
  <c r="T34" i="60"/>
  <c r="S34" i="60"/>
  <c r="S38" i="60" s="1"/>
  <c r="S39" i="60" s="1"/>
  <c r="Q34" i="60"/>
  <c r="Q38" i="60" s="1"/>
  <c r="N34" i="60"/>
  <c r="N38" i="60" s="1"/>
  <c r="M34" i="60"/>
  <c r="K34" i="60"/>
  <c r="K38" i="60" s="1"/>
  <c r="K39" i="60" s="1"/>
  <c r="H34" i="60"/>
  <c r="G34" i="60"/>
  <c r="G38" i="60" s="1"/>
  <c r="E34" i="60"/>
  <c r="R33" i="60"/>
  <c r="P33" i="60"/>
  <c r="O33" i="60"/>
  <c r="L33" i="60"/>
  <c r="J33" i="60"/>
  <c r="I33" i="60"/>
  <c r="F33" i="60"/>
  <c r="D33" i="60"/>
  <c r="C33" i="60"/>
  <c r="T32" i="60"/>
  <c r="S32" i="60"/>
  <c r="Q32" i="60"/>
  <c r="N32" i="60"/>
  <c r="M32" i="60"/>
  <c r="K32" i="60"/>
  <c r="H32" i="60"/>
  <c r="U32" i="60" s="1"/>
  <c r="G32" i="60"/>
  <c r="E32" i="60"/>
  <c r="T31" i="60"/>
  <c r="S31" i="60"/>
  <c r="Q31" i="60"/>
  <c r="N31" i="60"/>
  <c r="M31" i="60"/>
  <c r="K31" i="60"/>
  <c r="H31" i="60"/>
  <c r="U31" i="60" s="1"/>
  <c r="G31" i="60"/>
  <c r="E31" i="60"/>
  <c r="T30" i="60"/>
  <c r="T33" i="60" s="1"/>
  <c r="S30" i="60"/>
  <c r="Q30" i="60"/>
  <c r="N30" i="60"/>
  <c r="M30" i="60"/>
  <c r="M33" i="60" s="1"/>
  <c r="K30" i="60"/>
  <c r="H30" i="60"/>
  <c r="U30" i="60" s="1"/>
  <c r="G30" i="60"/>
  <c r="E30" i="60"/>
  <c r="E33" i="60" s="1"/>
  <c r="T29" i="60"/>
  <c r="S29" i="60"/>
  <c r="S33" i="60" s="1"/>
  <c r="Q29" i="60"/>
  <c r="Q33" i="60" s="1"/>
  <c r="N29" i="60"/>
  <c r="N33" i="60" s="1"/>
  <c r="M29" i="60"/>
  <c r="K29" i="60"/>
  <c r="K33" i="60" s="1"/>
  <c r="H29" i="60"/>
  <c r="H33" i="60" s="1"/>
  <c r="G29" i="60"/>
  <c r="G33" i="60" s="1"/>
  <c r="E29" i="60"/>
  <c r="R28" i="60"/>
  <c r="P28" i="60"/>
  <c r="O28" i="60"/>
  <c r="L28" i="60"/>
  <c r="J28" i="60"/>
  <c r="I28" i="60"/>
  <c r="F28" i="60"/>
  <c r="D28" i="60"/>
  <c r="C28" i="60"/>
  <c r="T27" i="60"/>
  <c r="S27" i="60"/>
  <c r="S28" i="60" s="1"/>
  <c r="Q27" i="60"/>
  <c r="N27" i="60"/>
  <c r="M27" i="60"/>
  <c r="K27" i="60"/>
  <c r="K28" i="60" s="1"/>
  <c r="H27" i="60"/>
  <c r="H28" i="60" s="1"/>
  <c r="G27" i="60"/>
  <c r="E27" i="60"/>
  <c r="T26" i="60"/>
  <c r="T28" i="60" s="1"/>
  <c r="S26" i="60"/>
  <c r="Q26" i="60"/>
  <c r="Q28" i="60" s="1"/>
  <c r="N26" i="60"/>
  <c r="U26" i="60" s="1"/>
  <c r="M26" i="60"/>
  <c r="M28" i="60" s="1"/>
  <c r="K26" i="60"/>
  <c r="H26" i="60"/>
  <c r="G26" i="60"/>
  <c r="G28" i="60" s="1"/>
  <c r="E26" i="60"/>
  <c r="E28" i="60" s="1"/>
  <c r="R24" i="60"/>
  <c r="R25" i="60" s="1"/>
  <c r="P24" i="60"/>
  <c r="P25" i="60" s="1"/>
  <c r="O24" i="60"/>
  <c r="L24" i="60"/>
  <c r="L25" i="60" s="1"/>
  <c r="J24" i="60"/>
  <c r="J25" i="60" s="1"/>
  <c r="I24" i="60"/>
  <c r="I25" i="60" s="1"/>
  <c r="F24" i="60"/>
  <c r="F25" i="60" s="1"/>
  <c r="D24" i="60"/>
  <c r="D25" i="60" s="1"/>
  <c r="C24" i="60"/>
  <c r="T23" i="60"/>
  <c r="S23" i="60"/>
  <c r="Q23" i="60"/>
  <c r="N23" i="60"/>
  <c r="U23" i="60" s="1"/>
  <c r="M23" i="60"/>
  <c r="K23" i="60"/>
  <c r="H23" i="60"/>
  <c r="G23" i="60"/>
  <c r="E23" i="60"/>
  <c r="T22" i="60"/>
  <c r="S22" i="60"/>
  <c r="Q22" i="60"/>
  <c r="N22" i="60"/>
  <c r="M22" i="60"/>
  <c r="K22" i="60"/>
  <c r="H22" i="60"/>
  <c r="U22" i="60" s="1"/>
  <c r="G22" i="60"/>
  <c r="E22" i="60"/>
  <c r="T21" i="60"/>
  <c r="S21" i="60"/>
  <c r="Q21" i="60"/>
  <c r="N21" i="60"/>
  <c r="N24" i="60" s="1"/>
  <c r="N25" i="60" s="1"/>
  <c r="M21" i="60"/>
  <c r="M24" i="60" s="1"/>
  <c r="K21" i="60"/>
  <c r="H21" i="60"/>
  <c r="G21" i="60"/>
  <c r="E21" i="60"/>
  <c r="E24" i="60" s="1"/>
  <c r="T20" i="60"/>
  <c r="T24" i="60" s="1"/>
  <c r="S20" i="60"/>
  <c r="S24" i="60" s="1"/>
  <c r="Q20" i="60"/>
  <c r="Q24" i="60" s="1"/>
  <c r="Q25" i="60" s="1"/>
  <c r="N20" i="60"/>
  <c r="M20" i="60"/>
  <c r="K20" i="60"/>
  <c r="K24" i="60" s="1"/>
  <c r="H20" i="60"/>
  <c r="H24" i="60" s="1"/>
  <c r="G20" i="60"/>
  <c r="G24" i="60" s="1"/>
  <c r="E20" i="60"/>
  <c r="R19" i="60"/>
  <c r="P19" i="60"/>
  <c r="O19" i="60"/>
  <c r="L19" i="60"/>
  <c r="J19" i="60"/>
  <c r="I19" i="60"/>
  <c r="F19" i="60"/>
  <c r="D19" i="60"/>
  <c r="C19" i="60"/>
  <c r="T18" i="60"/>
  <c r="S18" i="60"/>
  <c r="Q18" i="60"/>
  <c r="N18" i="60"/>
  <c r="M18" i="60"/>
  <c r="K18" i="60"/>
  <c r="H18" i="60"/>
  <c r="U18" i="60" s="1"/>
  <c r="G18" i="60"/>
  <c r="E18" i="60"/>
  <c r="T17" i="60"/>
  <c r="S17" i="60"/>
  <c r="Q17" i="60"/>
  <c r="Q19" i="60" s="1"/>
  <c r="N17" i="60"/>
  <c r="M17" i="60"/>
  <c r="K17" i="60"/>
  <c r="H17" i="60"/>
  <c r="H19" i="60" s="1"/>
  <c r="G17" i="60"/>
  <c r="E17" i="60"/>
  <c r="T16" i="60"/>
  <c r="T19" i="60" s="1"/>
  <c r="S16" i="60"/>
  <c r="S19" i="60" s="1"/>
  <c r="Q16" i="60"/>
  <c r="N16" i="60"/>
  <c r="N19" i="60" s="1"/>
  <c r="M16" i="60"/>
  <c r="M19" i="60" s="1"/>
  <c r="K16" i="60"/>
  <c r="K19" i="60" s="1"/>
  <c r="H16" i="60"/>
  <c r="U16" i="60" s="1"/>
  <c r="G16" i="60"/>
  <c r="G19" i="60" s="1"/>
  <c r="E16" i="60"/>
  <c r="E19" i="60" s="1"/>
  <c r="R15" i="60"/>
  <c r="P15" i="60"/>
  <c r="O15" i="60"/>
  <c r="L15" i="60"/>
  <c r="J15" i="60"/>
  <c r="I15" i="60"/>
  <c r="F15" i="60"/>
  <c r="D15" i="60"/>
  <c r="C15" i="60"/>
  <c r="T14" i="60"/>
  <c r="S14" i="60"/>
  <c r="Q14" i="60"/>
  <c r="N14" i="60"/>
  <c r="U14" i="60" s="1"/>
  <c r="M14" i="60"/>
  <c r="K14" i="60"/>
  <c r="H14" i="60"/>
  <c r="G14" i="60"/>
  <c r="E14" i="60"/>
  <c r="T13" i="60"/>
  <c r="S13" i="60"/>
  <c r="Q13" i="60"/>
  <c r="Q15" i="60" s="1"/>
  <c r="N13" i="60"/>
  <c r="M13" i="60"/>
  <c r="K13" i="60"/>
  <c r="H13" i="60"/>
  <c r="U13" i="60" s="1"/>
  <c r="G13" i="60"/>
  <c r="E13" i="60"/>
  <c r="T12" i="60"/>
  <c r="T15" i="60" s="1"/>
  <c r="S12" i="60"/>
  <c r="S15" i="60" s="1"/>
  <c r="Q12" i="60"/>
  <c r="N12" i="60"/>
  <c r="N15" i="60" s="1"/>
  <c r="M12" i="60"/>
  <c r="M15" i="60" s="1"/>
  <c r="K12" i="60"/>
  <c r="K15" i="60" s="1"/>
  <c r="H12" i="60"/>
  <c r="H15" i="60" s="1"/>
  <c r="G12" i="60"/>
  <c r="G15" i="60" s="1"/>
  <c r="E12" i="60"/>
  <c r="E15" i="60" s="1"/>
  <c r="R11" i="60"/>
  <c r="P11" i="60"/>
  <c r="O11" i="60"/>
  <c r="O25" i="60" s="1"/>
  <c r="L11" i="60"/>
  <c r="J11" i="60"/>
  <c r="I11" i="60"/>
  <c r="F11" i="60"/>
  <c r="D11" i="60"/>
  <c r="C11" i="60"/>
  <c r="C25" i="60" s="1"/>
  <c r="T10" i="60"/>
  <c r="S10" i="60"/>
  <c r="Q10" i="60"/>
  <c r="N10" i="60"/>
  <c r="M10" i="60"/>
  <c r="K10" i="60"/>
  <c r="H10" i="60"/>
  <c r="U10" i="60" s="1"/>
  <c r="G10" i="60"/>
  <c r="E10" i="60"/>
  <c r="T9" i="60"/>
  <c r="S9" i="60"/>
  <c r="Q9" i="60"/>
  <c r="N9" i="60"/>
  <c r="M9" i="60"/>
  <c r="K9" i="60"/>
  <c r="H9" i="60"/>
  <c r="U9" i="60" s="1"/>
  <c r="G9" i="60"/>
  <c r="E9" i="60"/>
  <c r="T8" i="60"/>
  <c r="S8" i="60"/>
  <c r="Q8" i="60"/>
  <c r="N8" i="60"/>
  <c r="N11" i="60" s="1"/>
  <c r="M8" i="60"/>
  <c r="K8" i="60"/>
  <c r="H8" i="60"/>
  <c r="U8" i="60" s="1"/>
  <c r="G8" i="60"/>
  <c r="G11" i="60" s="1"/>
  <c r="E8" i="60"/>
  <c r="T7" i="60"/>
  <c r="T11" i="60" s="1"/>
  <c r="S7" i="60"/>
  <c r="S11" i="60" s="1"/>
  <c r="Q7" i="60"/>
  <c r="Q11" i="60" s="1"/>
  <c r="N7" i="60"/>
  <c r="M7" i="60"/>
  <c r="M11" i="60" s="1"/>
  <c r="K7" i="60"/>
  <c r="K11" i="60" s="1"/>
  <c r="H7" i="60"/>
  <c r="H11" i="60" s="1"/>
  <c r="G7" i="60"/>
  <c r="E7" i="60"/>
  <c r="E11" i="60" s="1"/>
  <c r="R49" i="59"/>
  <c r="R50" i="59" s="1"/>
  <c r="P49" i="59"/>
  <c r="P50" i="59" s="1"/>
  <c r="O49" i="59"/>
  <c r="O50" i="59" s="1"/>
  <c r="L49" i="59"/>
  <c r="L50" i="59" s="1"/>
  <c r="J49" i="59"/>
  <c r="J50" i="59" s="1"/>
  <c r="I49" i="59"/>
  <c r="I50" i="59" s="1"/>
  <c r="F49" i="59"/>
  <c r="F50" i="59" s="1"/>
  <c r="D49" i="59"/>
  <c r="C49" i="59"/>
  <c r="C50" i="59" s="1"/>
  <c r="T48" i="59"/>
  <c r="S48" i="59"/>
  <c r="Q48" i="59"/>
  <c r="N48" i="59"/>
  <c r="M48" i="59"/>
  <c r="K48" i="59"/>
  <c r="H48" i="59"/>
  <c r="U48" i="59" s="1"/>
  <c r="G48" i="59"/>
  <c r="E48" i="59"/>
  <c r="T47" i="59"/>
  <c r="S47" i="59"/>
  <c r="Q47" i="59"/>
  <c r="N47" i="59"/>
  <c r="M47" i="59"/>
  <c r="K47" i="59"/>
  <c r="H47" i="59"/>
  <c r="U47" i="59" s="1"/>
  <c r="G47" i="59"/>
  <c r="E47" i="59"/>
  <c r="T46" i="59"/>
  <c r="S46" i="59"/>
  <c r="Q46" i="59"/>
  <c r="N46" i="59"/>
  <c r="M46" i="59"/>
  <c r="K46" i="59"/>
  <c r="H46" i="59"/>
  <c r="U46" i="59" s="1"/>
  <c r="G46" i="59"/>
  <c r="E46" i="59"/>
  <c r="T45" i="59"/>
  <c r="T49" i="59" s="1"/>
  <c r="S45" i="59"/>
  <c r="S49" i="59" s="1"/>
  <c r="Q45" i="59"/>
  <c r="Q49" i="59" s="1"/>
  <c r="N45" i="59"/>
  <c r="N49" i="59" s="1"/>
  <c r="M45" i="59"/>
  <c r="M49" i="59" s="1"/>
  <c r="K45" i="59"/>
  <c r="K49" i="59" s="1"/>
  <c r="H45" i="59"/>
  <c r="H49" i="59" s="1"/>
  <c r="G45" i="59"/>
  <c r="G49" i="59" s="1"/>
  <c r="E45" i="59"/>
  <c r="E49" i="59" s="1"/>
  <c r="R44" i="59"/>
  <c r="P44" i="59"/>
  <c r="O44" i="59"/>
  <c r="L44" i="59"/>
  <c r="J44" i="59"/>
  <c r="I44" i="59"/>
  <c r="F44" i="59"/>
  <c r="C44" i="59"/>
  <c r="T43" i="59"/>
  <c r="S43" i="59"/>
  <c r="Q43" i="59"/>
  <c r="N43" i="59"/>
  <c r="M43" i="59"/>
  <c r="K43" i="59"/>
  <c r="G43" i="59"/>
  <c r="E43" i="59"/>
  <c r="D43" i="59"/>
  <c r="H43" i="59" s="1"/>
  <c r="U43" i="59" s="1"/>
  <c r="T42" i="59"/>
  <c r="S42" i="59"/>
  <c r="Q42" i="59"/>
  <c r="N42" i="59"/>
  <c r="M42" i="59"/>
  <c r="K42" i="59"/>
  <c r="H42" i="59"/>
  <c r="U42" i="59" s="1"/>
  <c r="G42" i="59"/>
  <c r="E42" i="59"/>
  <c r="T41" i="59"/>
  <c r="S41" i="59"/>
  <c r="Q41" i="59"/>
  <c r="N41" i="59"/>
  <c r="M41" i="59"/>
  <c r="K41" i="59"/>
  <c r="G41" i="59"/>
  <c r="E41" i="59"/>
  <c r="D41" i="59"/>
  <c r="H41" i="59" s="1"/>
  <c r="U41" i="59" s="1"/>
  <c r="T40" i="59"/>
  <c r="T44" i="59" s="1"/>
  <c r="S40" i="59"/>
  <c r="S44" i="59" s="1"/>
  <c r="Q40" i="59"/>
  <c r="Q44" i="59" s="1"/>
  <c r="N40" i="59"/>
  <c r="N44" i="59" s="1"/>
  <c r="M40" i="59"/>
  <c r="M44" i="59" s="1"/>
  <c r="K40" i="59"/>
  <c r="K44" i="59" s="1"/>
  <c r="H40" i="59"/>
  <c r="U40" i="59" s="1"/>
  <c r="G40" i="59"/>
  <c r="G44" i="59" s="1"/>
  <c r="E40" i="59"/>
  <c r="E44" i="59" s="1"/>
  <c r="R38" i="59"/>
  <c r="R39" i="59" s="1"/>
  <c r="P38" i="59"/>
  <c r="P39" i="59" s="1"/>
  <c r="O38" i="59"/>
  <c r="O39" i="59" s="1"/>
  <c r="L38" i="59"/>
  <c r="L39" i="59" s="1"/>
  <c r="J38" i="59"/>
  <c r="J39" i="59" s="1"/>
  <c r="I38" i="59"/>
  <c r="I39" i="59" s="1"/>
  <c r="F38" i="59"/>
  <c r="F39" i="59" s="1"/>
  <c r="D38" i="59"/>
  <c r="D39" i="59" s="1"/>
  <c r="C38" i="59"/>
  <c r="C39" i="59" s="1"/>
  <c r="T37" i="59"/>
  <c r="S37" i="59"/>
  <c r="Q37" i="59"/>
  <c r="N37" i="59"/>
  <c r="M37" i="59"/>
  <c r="K37" i="59"/>
  <c r="H37" i="59"/>
  <c r="U37" i="59" s="1"/>
  <c r="G37" i="59"/>
  <c r="E37" i="59"/>
  <c r="T36" i="59"/>
  <c r="S36" i="59"/>
  <c r="Q36" i="59"/>
  <c r="N36" i="59"/>
  <c r="M36" i="59"/>
  <c r="K36" i="59"/>
  <c r="H36" i="59"/>
  <c r="U36" i="59" s="1"/>
  <c r="G36" i="59"/>
  <c r="E36" i="59"/>
  <c r="T35" i="59"/>
  <c r="S35" i="59"/>
  <c r="Q35" i="59"/>
  <c r="N35" i="59"/>
  <c r="M35" i="59"/>
  <c r="K35" i="59"/>
  <c r="H35" i="59"/>
  <c r="U35" i="59" s="1"/>
  <c r="G35" i="59"/>
  <c r="E35" i="59"/>
  <c r="T34" i="59"/>
  <c r="T38" i="59" s="1"/>
  <c r="S34" i="59"/>
  <c r="S38" i="59" s="1"/>
  <c r="Q34" i="59"/>
  <c r="Q38" i="59" s="1"/>
  <c r="N34" i="59"/>
  <c r="N38" i="59" s="1"/>
  <c r="M34" i="59"/>
  <c r="M38" i="59" s="1"/>
  <c r="K34" i="59"/>
  <c r="K38" i="59" s="1"/>
  <c r="H34" i="59"/>
  <c r="H38" i="59" s="1"/>
  <c r="G34" i="59"/>
  <c r="G38" i="59" s="1"/>
  <c r="E34" i="59"/>
  <c r="E38" i="59" s="1"/>
  <c r="R33" i="59"/>
  <c r="P33" i="59"/>
  <c r="O33" i="59"/>
  <c r="L33" i="59"/>
  <c r="J33" i="59"/>
  <c r="I33" i="59"/>
  <c r="F33" i="59"/>
  <c r="D33" i="59"/>
  <c r="C33" i="59"/>
  <c r="T32" i="59"/>
  <c r="S32" i="59"/>
  <c r="Q32" i="59"/>
  <c r="N32" i="59"/>
  <c r="M32" i="59"/>
  <c r="K32" i="59"/>
  <c r="H32" i="59"/>
  <c r="U32" i="59" s="1"/>
  <c r="G32" i="59"/>
  <c r="E32" i="59"/>
  <c r="T31" i="59"/>
  <c r="S31" i="59"/>
  <c r="Q31" i="59"/>
  <c r="N31" i="59"/>
  <c r="M31" i="59"/>
  <c r="K31" i="59"/>
  <c r="H31" i="59"/>
  <c r="U31" i="59" s="1"/>
  <c r="G31" i="59"/>
  <c r="E31" i="59"/>
  <c r="T30" i="59"/>
  <c r="S30" i="59"/>
  <c r="Q30" i="59"/>
  <c r="N30" i="59"/>
  <c r="M30" i="59"/>
  <c r="K30" i="59"/>
  <c r="H30" i="59"/>
  <c r="U30" i="59" s="1"/>
  <c r="G30" i="59"/>
  <c r="E30" i="59"/>
  <c r="T29" i="59"/>
  <c r="T33" i="59" s="1"/>
  <c r="S29" i="59"/>
  <c r="S33" i="59" s="1"/>
  <c r="Q29" i="59"/>
  <c r="Q33" i="59" s="1"/>
  <c r="N29" i="59"/>
  <c r="N33" i="59" s="1"/>
  <c r="M29" i="59"/>
  <c r="M33" i="59" s="1"/>
  <c r="K29" i="59"/>
  <c r="K33" i="59" s="1"/>
  <c r="H29" i="59"/>
  <c r="H33" i="59" s="1"/>
  <c r="G29" i="59"/>
  <c r="G33" i="59" s="1"/>
  <c r="E29" i="59"/>
  <c r="E33" i="59" s="1"/>
  <c r="R28" i="59"/>
  <c r="P28" i="59"/>
  <c r="O28" i="59"/>
  <c r="L28" i="59"/>
  <c r="J28" i="59"/>
  <c r="I28" i="59"/>
  <c r="F28" i="59"/>
  <c r="D28" i="59"/>
  <c r="C28" i="59"/>
  <c r="T27" i="59"/>
  <c r="S27" i="59"/>
  <c r="Q27" i="59"/>
  <c r="N27" i="59"/>
  <c r="M27" i="59"/>
  <c r="K27" i="59"/>
  <c r="H27" i="59"/>
  <c r="U27" i="59" s="1"/>
  <c r="G27" i="59"/>
  <c r="E27" i="59"/>
  <c r="T26" i="59"/>
  <c r="T28" i="59" s="1"/>
  <c r="S26" i="59"/>
  <c r="S28" i="59" s="1"/>
  <c r="Q26" i="59"/>
  <c r="Q28" i="59" s="1"/>
  <c r="N26" i="59"/>
  <c r="N28" i="59" s="1"/>
  <c r="M26" i="59"/>
  <c r="M28" i="59" s="1"/>
  <c r="K26" i="59"/>
  <c r="K28" i="59" s="1"/>
  <c r="H26" i="59"/>
  <c r="H28" i="59" s="1"/>
  <c r="G26" i="59"/>
  <c r="G28" i="59" s="1"/>
  <c r="E26" i="59"/>
  <c r="E28" i="59" s="1"/>
  <c r="R24" i="59"/>
  <c r="R25" i="59" s="1"/>
  <c r="P24" i="59"/>
  <c r="P25" i="59" s="1"/>
  <c r="O24" i="59"/>
  <c r="O25" i="59" s="1"/>
  <c r="L24" i="59"/>
  <c r="L25" i="59" s="1"/>
  <c r="J24" i="59"/>
  <c r="J25" i="59" s="1"/>
  <c r="I24" i="59"/>
  <c r="I25" i="59" s="1"/>
  <c r="F24" i="59"/>
  <c r="F25" i="59" s="1"/>
  <c r="D24" i="59"/>
  <c r="D25" i="59" s="1"/>
  <c r="C24" i="59"/>
  <c r="C25" i="59" s="1"/>
  <c r="T23" i="59"/>
  <c r="S23" i="59"/>
  <c r="Q23" i="59"/>
  <c r="N23" i="59"/>
  <c r="M23" i="59"/>
  <c r="K23" i="59"/>
  <c r="H23" i="59"/>
  <c r="U23" i="59" s="1"/>
  <c r="G23" i="59"/>
  <c r="E23" i="59"/>
  <c r="T22" i="59"/>
  <c r="S22" i="59"/>
  <c r="Q22" i="59"/>
  <c r="N22" i="59"/>
  <c r="M22" i="59"/>
  <c r="K22" i="59"/>
  <c r="H22" i="59"/>
  <c r="U22" i="59" s="1"/>
  <c r="G22" i="59"/>
  <c r="E22" i="59"/>
  <c r="T21" i="59"/>
  <c r="S21" i="59"/>
  <c r="Q21" i="59"/>
  <c r="N21" i="59"/>
  <c r="M21" i="59"/>
  <c r="K21" i="59"/>
  <c r="H21" i="59"/>
  <c r="U21" i="59" s="1"/>
  <c r="G21" i="59"/>
  <c r="E21" i="59"/>
  <c r="T20" i="59"/>
  <c r="T24" i="59" s="1"/>
  <c r="S20" i="59"/>
  <c r="S24" i="59" s="1"/>
  <c r="Q20" i="59"/>
  <c r="Q24" i="59" s="1"/>
  <c r="N20" i="59"/>
  <c r="N24" i="59" s="1"/>
  <c r="M20" i="59"/>
  <c r="M24" i="59" s="1"/>
  <c r="K20" i="59"/>
  <c r="K24" i="59" s="1"/>
  <c r="H20" i="59"/>
  <c r="H24" i="59" s="1"/>
  <c r="G20" i="59"/>
  <c r="G24" i="59" s="1"/>
  <c r="E20" i="59"/>
  <c r="E24" i="59" s="1"/>
  <c r="R19" i="59"/>
  <c r="P19" i="59"/>
  <c r="O19" i="59"/>
  <c r="L19" i="59"/>
  <c r="J19" i="59"/>
  <c r="I19" i="59"/>
  <c r="F19" i="59"/>
  <c r="D19" i="59"/>
  <c r="C19" i="59"/>
  <c r="T18" i="59"/>
  <c r="S18" i="59"/>
  <c r="Q18" i="59"/>
  <c r="N18" i="59"/>
  <c r="M18" i="59"/>
  <c r="K18" i="59"/>
  <c r="H18" i="59"/>
  <c r="U18" i="59" s="1"/>
  <c r="G18" i="59"/>
  <c r="E18" i="59"/>
  <c r="T17" i="59"/>
  <c r="S17" i="59"/>
  <c r="Q17" i="59"/>
  <c r="N17" i="59"/>
  <c r="M17" i="59"/>
  <c r="K17" i="59"/>
  <c r="H17" i="59"/>
  <c r="U17" i="59" s="1"/>
  <c r="G17" i="59"/>
  <c r="E17" i="59"/>
  <c r="T16" i="59"/>
  <c r="T19" i="59" s="1"/>
  <c r="S16" i="59"/>
  <c r="S19" i="59" s="1"/>
  <c r="Q16" i="59"/>
  <c r="Q19" i="59" s="1"/>
  <c r="N16" i="59"/>
  <c r="N19" i="59" s="1"/>
  <c r="M16" i="59"/>
  <c r="M19" i="59" s="1"/>
  <c r="K16" i="59"/>
  <c r="K19" i="59" s="1"/>
  <c r="H16" i="59"/>
  <c r="H19" i="59" s="1"/>
  <c r="G16" i="59"/>
  <c r="G19" i="59" s="1"/>
  <c r="E16" i="59"/>
  <c r="E19" i="59" s="1"/>
  <c r="R15" i="59"/>
  <c r="P15" i="59"/>
  <c r="O15" i="59"/>
  <c r="L15" i="59"/>
  <c r="J15" i="59"/>
  <c r="I15" i="59"/>
  <c r="F15" i="59"/>
  <c r="D15" i="59"/>
  <c r="C15" i="59"/>
  <c r="T14" i="59"/>
  <c r="S14" i="59"/>
  <c r="Q14" i="59"/>
  <c r="N14" i="59"/>
  <c r="M14" i="59"/>
  <c r="K14" i="59"/>
  <c r="H14" i="59"/>
  <c r="U14" i="59" s="1"/>
  <c r="G14" i="59"/>
  <c r="E14" i="59"/>
  <c r="T13" i="59"/>
  <c r="S13" i="59"/>
  <c r="Q13" i="59"/>
  <c r="N13" i="59"/>
  <c r="M13" i="59"/>
  <c r="K13" i="59"/>
  <c r="H13" i="59"/>
  <c r="U13" i="59" s="1"/>
  <c r="G13" i="59"/>
  <c r="E13" i="59"/>
  <c r="T12" i="59"/>
  <c r="T15" i="59" s="1"/>
  <c r="S12" i="59"/>
  <c r="S15" i="59" s="1"/>
  <c r="Q12" i="59"/>
  <c r="Q15" i="59" s="1"/>
  <c r="N12" i="59"/>
  <c r="N15" i="59" s="1"/>
  <c r="M12" i="59"/>
  <c r="M15" i="59" s="1"/>
  <c r="K12" i="59"/>
  <c r="K15" i="59" s="1"/>
  <c r="H12" i="59"/>
  <c r="U12" i="59" s="1"/>
  <c r="G12" i="59"/>
  <c r="G15" i="59" s="1"/>
  <c r="E12" i="59"/>
  <c r="E15" i="59" s="1"/>
  <c r="R11" i="59"/>
  <c r="P11" i="59"/>
  <c r="O11" i="59"/>
  <c r="L11" i="59"/>
  <c r="J11" i="59"/>
  <c r="I11" i="59"/>
  <c r="F11" i="59"/>
  <c r="D11" i="59"/>
  <c r="C11" i="59"/>
  <c r="T10" i="59"/>
  <c r="S10" i="59"/>
  <c r="Q10" i="59"/>
  <c r="N10" i="59"/>
  <c r="M10" i="59"/>
  <c r="K10" i="59"/>
  <c r="H10" i="59"/>
  <c r="U10" i="59" s="1"/>
  <c r="G10" i="59"/>
  <c r="E10" i="59"/>
  <c r="T9" i="59"/>
  <c r="S9" i="59"/>
  <c r="Q9" i="59"/>
  <c r="N9" i="59"/>
  <c r="M9" i="59"/>
  <c r="K9" i="59"/>
  <c r="H9" i="59"/>
  <c r="U9" i="59" s="1"/>
  <c r="G9" i="59"/>
  <c r="E9" i="59"/>
  <c r="T8" i="59"/>
  <c r="S8" i="59"/>
  <c r="Q8" i="59"/>
  <c r="N8" i="59"/>
  <c r="M8" i="59"/>
  <c r="K8" i="59"/>
  <c r="H8" i="59"/>
  <c r="U8" i="59" s="1"/>
  <c r="G8" i="59"/>
  <c r="E8" i="59"/>
  <c r="T7" i="59"/>
  <c r="T11" i="59" s="1"/>
  <c r="S7" i="59"/>
  <c r="S11" i="59" s="1"/>
  <c r="Q7" i="59"/>
  <c r="Q11" i="59" s="1"/>
  <c r="N7" i="59"/>
  <c r="N11" i="59" s="1"/>
  <c r="M7" i="59"/>
  <c r="M11" i="59" s="1"/>
  <c r="K7" i="59"/>
  <c r="K11" i="59" s="1"/>
  <c r="H7" i="59"/>
  <c r="H11" i="59" s="1"/>
  <c r="G7" i="59"/>
  <c r="G11" i="59" s="1"/>
  <c r="E7" i="59"/>
  <c r="E11" i="59" s="1"/>
  <c r="P50" i="58"/>
  <c r="L50" i="58"/>
  <c r="R49" i="58"/>
  <c r="R50" i="58" s="1"/>
  <c r="P49" i="58"/>
  <c r="O49" i="58"/>
  <c r="O50" i="58" s="1"/>
  <c r="O51" i="58" s="1"/>
  <c r="L49" i="58"/>
  <c r="J49" i="58"/>
  <c r="J50" i="58" s="1"/>
  <c r="I49" i="58"/>
  <c r="I50" i="58" s="1"/>
  <c r="F49" i="58"/>
  <c r="F50" i="58" s="1"/>
  <c r="D49" i="58"/>
  <c r="C49" i="58"/>
  <c r="C50" i="58" s="1"/>
  <c r="T48" i="58"/>
  <c r="S48" i="58"/>
  <c r="Q48" i="58"/>
  <c r="N48" i="58"/>
  <c r="M48" i="58"/>
  <c r="K48" i="58"/>
  <c r="H48" i="58"/>
  <c r="U48" i="58" s="1"/>
  <c r="G48" i="58"/>
  <c r="E48" i="58"/>
  <c r="T47" i="58"/>
  <c r="S47" i="58"/>
  <c r="Q47" i="58"/>
  <c r="N47" i="58"/>
  <c r="M47" i="58"/>
  <c r="K47" i="58"/>
  <c r="H47" i="58"/>
  <c r="U47" i="58" s="1"/>
  <c r="G47" i="58"/>
  <c r="E47" i="58"/>
  <c r="T46" i="58"/>
  <c r="S46" i="58"/>
  <c r="Q46" i="58"/>
  <c r="N46" i="58"/>
  <c r="N49" i="58" s="1"/>
  <c r="M46" i="58"/>
  <c r="K46" i="58"/>
  <c r="H46" i="58"/>
  <c r="U46" i="58" s="1"/>
  <c r="G46" i="58"/>
  <c r="G49" i="58" s="1"/>
  <c r="E46" i="58"/>
  <c r="T45" i="58"/>
  <c r="T49" i="58" s="1"/>
  <c r="T50" i="58" s="1"/>
  <c r="S45" i="58"/>
  <c r="S49" i="58" s="1"/>
  <c r="Q45" i="58"/>
  <c r="Q49" i="58" s="1"/>
  <c r="Q50" i="58" s="1"/>
  <c r="N45" i="58"/>
  <c r="M45" i="58"/>
  <c r="M49" i="58" s="1"/>
  <c r="M50" i="58" s="1"/>
  <c r="K45" i="58"/>
  <c r="K49" i="58" s="1"/>
  <c r="H45" i="58"/>
  <c r="H49" i="58" s="1"/>
  <c r="G45" i="58"/>
  <c r="E45" i="58"/>
  <c r="E49" i="58" s="1"/>
  <c r="E50" i="58" s="1"/>
  <c r="R44" i="58"/>
  <c r="P44" i="58"/>
  <c r="O44" i="58"/>
  <c r="L44" i="58"/>
  <c r="J44" i="58"/>
  <c r="I44" i="58"/>
  <c r="F44" i="58"/>
  <c r="C44" i="58"/>
  <c r="T43" i="58"/>
  <c r="S43" i="58"/>
  <c r="Q43" i="58"/>
  <c r="N43" i="58"/>
  <c r="M43" i="58"/>
  <c r="K43" i="58"/>
  <c r="G43" i="58"/>
  <c r="E43" i="58"/>
  <c r="D43" i="58"/>
  <c r="H43" i="58" s="1"/>
  <c r="U43" i="58" s="1"/>
  <c r="T42" i="58"/>
  <c r="S42" i="58"/>
  <c r="Q42" i="58"/>
  <c r="N42" i="58"/>
  <c r="M42" i="58"/>
  <c r="K42" i="58"/>
  <c r="H42" i="58"/>
  <c r="U42" i="58" s="1"/>
  <c r="G42" i="58"/>
  <c r="E42" i="58"/>
  <c r="T41" i="58"/>
  <c r="S41" i="58"/>
  <c r="Q41" i="58"/>
  <c r="Q44" i="58" s="1"/>
  <c r="N41" i="58"/>
  <c r="M41" i="58"/>
  <c r="K41" i="58"/>
  <c r="H41" i="58"/>
  <c r="U41" i="58" s="1"/>
  <c r="G41" i="58"/>
  <c r="E41" i="58"/>
  <c r="D41" i="58"/>
  <c r="D44" i="58" s="1"/>
  <c r="D50" i="58" s="1"/>
  <c r="D51" i="58" s="1"/>
  <c r="T40" i="58"/>
  <c r="T44" i="58" s="1"/>
  <c r="S40" i="58"/>
  <c r="S44" i="58" s="1"/>
  <c r="Q40" i="58"/>
  <c r="N40" i="58"/>
  <c r="N44" i="58" s="1"/>
  <c r="M40" i="58"/>
  <c r="M44" i="58" s="1"/>
  <c r="K40" i="58"/>
  <c r="K44" i="58" s="1"/>
  <c r="H40" i="58"/>
  <c r="G40" i="58"/>
  <c r="G44" i="58" s="1"/>
  <c r="E40" i="58"/>
  <c r="E44" i="58" s="1"/>
  <c r="R38" i="58"/>
  <c r="R39" i="58" s="1"/>
  <c r="P38" i="58"/>
  <c r="P39" i="58" s="1"/>
  <c r="O38" i="58"/>
  <c r="L38" i="58"/>
  <c r="L39" i="58" s="1"/>
  <c r="J38" i="58"/>
  <c r="J39" i="58" s="1"/>
  <c r="I38" i="58"/>
  <c r="I39" i="58" s="1"/>
  <c r="F38" i="58"/>
  <c r="F39" i="58" s="1"/>
  <c r="C38" i="58"/>
  <c r="T37" i="58"/>
  <c r="S37" i="58"/>
  <c r="Q37" i="58"/>
  <c r="N37" i="58"/>
  <c r="M37" i="58"/>
  <c r="K37" i="58"/>
  <c r="G37" i="58"/>
  <c r="E37" i="58"/>
  <c r="D37" i="58"/>
  <c r="H37" i="58" s="1"/>
  <c r="U37" i="58" s="1"/>
  <c r="T36" i="58"/>
  <c r="S36" i="58"/>
  <c r="Q36" i="58"/>
  <c r="N36" i="58"/>
  <c r="M36" i="58"/>
  <c r="K36" i="58"/>
  <c r="H36" i="58"/>
  <c r="U36" i="58" s="1"/>
  <c r="G36" i="58"/>
  <c r="E36" i="58"/>
  <c r="T35" i="58"/>
  <c r="S35" i="58"/>
  <c r="Q35" i="58"/>
  <c r="Q38" i="58" s="1"/>
  <c r="N35" i="58"/>
  <c r="M35" i="58"/>
  <c r="K35" i="58"/>
  <c r="H35" i="58"/>
  <c r="U35" i="58" s="1"/>
  <c r="G35" i="58"/>
  <c r="E35" i="58"/>
  <c r="D35" i="58"/>
  <c r="D38" i="58" s="1"/>
  <c r="D39" i="58" s="1"/>
  <c r="T34" i="58"/>
  <c r="T38" i="58" s="1"/>
  <c r="S34" i="58"/>
  <c r="S38" i="58" s="1"/>
  <c r="Q34" i="58"/>
  <c r="N34" i="58"/>
  <c r="N38" i="58" s="1"/>
  <c r="M34" i="58"/>
  <c r="M38" i="58" s="1"/>
  <c r="M39" i="58" s="1"/>
  <c r="K34" i="58"/>
  <c r="K38" i="58" s="1"/>
  <c r="H34" i="58"/>
  <c r="H38" i="58" s="1"/>
  <c r="G34" i="58"/>
  <c r="G38" i="58" s="1"/>
  <c r="E34" i="58"/>
  <c r="E38" i="58" s="1"/>
  <c r="E39" i="58" s="1"/>
  <c r="R33" i="58"/>
  <c r="P33" i="58"/>
  <c r="O33" i="58"/>
  <c r="O39" i="58" s="1"/>
  <c r="L33" i="58"/>
  <c r="J33" i="58"/>
  <c r="I33" i="58"/>
  <c r="F33" i="58"/>
  <c r="D33" i="58"/>
  <c r="C33" i="58"/>
  <c r="C39" i="58" s="1"/>
  <c r="T32" i="58"/>
  <c r="S32" i="58"/>
  <c r="Q32" i="58"/>
  <c r="N32" i="58"/>
  <c r="M32" i="58"/>
  <c r="K32" i="58"/>
  <c r="H32" i="58"/>
  <c r="U32" i="58" s="1"/>
  <c r="G32" i="58"/>
  <c r="E32" i="58"/>
  <c r="T31" i="58"/>
  <c r="S31" i="58"/>
  <c r="Q31" i="58"/>
  <c r="N31" i="58"/>
  <c r="M31" i="58"/>
  <c r="K31" i="58"/>
  <c r="H31" i="58"/>
  <c r="U31" i="58" s="1"/>
  <c r="G31" i="58"/>
  <c r="E31" i="58"/>
  <c r="T30" i="58"/>
  <c r="S30" i="58"/>
  <c r="Q30" i="58"/>
  <c r="N30" i="58"/>
  <c r="N33" i="58" s="1"/>
  <c r="M30" i="58"/>
  <c r="K30" i="58"/>
  <c r="H30" i="58"/>
  <c r="U30" i="58" s="1"/>
  <c r="G30" i="58"/>
  <c r="G33" i="58" s="1"/>
  <c r="E30" i="58"/>
  <c r="T29" i="58"/>
  <c r="T33" i="58" s="1"/>
  <c r="S29" i="58"/>
  <c r="S33" i="58" s="1"/>
  <c r="Q29" i="58"/>
  <c r="Q33" i="58" s="1"/>
  <c r="N29" i="58"/>
  <c r="M29" i="58"/>
  <c r="M33" i="58" s="1"/>
  <c r="K29" i="58"/>
  <c r="K33" i="58" s="1"/>
  <c r="H29" i="58"/>
  <c r="H33" i="58" s="1"/>
  <c r="G29" i="58"/>
  <c r="E29" i="58"/>
  <c r="E33" i="58" s="1"/>
  <c r="R28" i="58"/>
  <c r="P28" i="58"/>
  <c r="O28" i="58"/>
  <c r="L28" i="58"/>
  <c r="J28" i="58"/>
  <c r="I28" i="58"/>
  <c r="F28" i="58"/>
  <c r="D28" i="58"/>
  <c r="C28" i="58"/>
  <c r="T27" i="58"/>
  <c r="S27" i="58"/>
  <c r="Q27" i="58"/>
  <c r="N27" i="58"/>
  <c r="N28" i="58" s="1"/>
  <c r="M27" i="58"/>
  <c r="M28" i="58" s="1"/>
  <c r="K27" i="58"/>
  <c r="H27" i="58"/>
  <c r="G27" i="58"/>
  <c r="E27" i="58"/>
  <c r="E28" i="58" s="1"/>
  <c r="T26" i="58"/>
  <c r="T28" i="58" s="1"/>
  <c r="S26" i="58"/>
  <c r="S28" i="58" s="1"/>
  <c r="Q26" i="58"/>
  <c r="Q28" i="58" s="1"/>
  <c r="N26" i="58"/>
  <c r="M26" i="58"/>
  <c r="K26" i="58"/>
  <c r="K28" i="58" s="1"/>
  <c r="H26" i="58"/>
  <c r="H28" i="58" s="1"/>
  <c r="G26" i="58"/>
  <c r="G28" i="58" s="1"/>
  <c r="E26" i="58"/>
  <c r="R24" i="58"/>
  <c r="R25" i="58" s="1"/>
  <c r="P24" i="58"/>
  <c r="P25" i="58" s="1"/>
  <c r="O24" i="58"/>
  <c r="O25" i="58" s="1"/>
  <c r="L24" i="58"/>
  <c r="L25" i="58" s="1"/>
  <c r="J24" i="58"/>
  <c r="I24" i="58"/>
  <c r="F24" i="58"/>
  <c r="F25" i="58" s="1"/>
  <c r="C24" i="58"/>
  <c r="C25" i="58" s="1"/>
  <c r="T23" i="58"/>
  <c r="S23" i="58"/>
  <c r="Q23" i="58"/>
  <c r="N23" i="58"/>
  <c r="M23" i="58"/>
  <c r="K23" i="58"/>
  <c r="G23" i="58"/>
  <c r="E23" i="58"/>
  <c r="D23" i="58"/>
  <c r="D24" i="58" s="1"/>
  <c r="D25" i="58" s="1"/>
  <c r="T22" i="58"/>
  <c r="S22" i="58"/>
  <c r="Q22" i="58"/>
  <c r="N22" i="58"/>
  <c r="M22" i="58"/>
  <c r="K22" i="58"/>
  <c r="H22" i="58"/>
  <c r="U22" i="58" s="1"/>
  <c r="G22" i="58"/>
  <c r="E22" i="58"/>
  <c r="T21" i="58"/>
  <c r="T24" i="58" s="1"/>
  <c r="S21" i="58"/>
  <c r="S24" i="58" s="1"/>
  <c r="S25" i="58" s="1"/>
  <c r="Q21" i="58"/>
  <c r="N21" i="58"/>
  <c r="M21" i="58"/>
  <c r="K21" i="58"/>
  <c r="K24" i="58" s="1"/>
  <c r="K25" i="58" s="1"/>
  <c r="H21" i="58"/>
  <c r="U21" i="58" s="1"/>
  <c r="G21" i="58"/>
  <c r="E21" i="58"/>
  <c r="T20" i="58"/>
  <c r="S20" i="58"/>
  <c r="Q20" i="58"/>
  <c r="Q24" i="58" s="1"/>
  <c r="N20" i="58"/>
  <c r="N24" i="58" s="1"/>
  <c r="M20" i="58"/>
  <c r="M24" i="58" s="1"/>
  <c r="K20" i="58"/>
  <c r="H20" i="58"/>
  <c r="G20" i="58"/>
  <c r="G24" i="58" s="1"/>
  <c r="E20" i="58"/>
  <c r="E24" i="58" s="1"/>
  <c r="R19" i="58"/>
  <c r="O19" i="58"/>
  <c r="L19" i="58"/>
  <c r="I19" i="58"/>
  <c r="F19" i="58"/>
  <c r="D19" i="58"/>
  <c r="C19" i="58"/>
  <c r="T18" i="58"/>
  <c r="S18" i="58"/>
  <c r="S19" i="58" s="1"/>
  <c r="Q18" i="58"/>
  <c r="M18" i="58"/>
  <c r="K18" i="58"/>
  <c r="J18" i="58"/>
  <c r="N18" i="58" s="1"/>
  <c r="H18" i="58"/>
  <c r="U18" i="58" s="1"/>
  <c r="G18" i="58"/>
  <c r="E18" i="58"/>
  <c r="S17" i="58"/>
  <c r="Q17" i="58"/>
  <c r="P17" i="58"/>
  <c r="P19" i="58" s="1"/>
  <c r="M17" i="58"/>
  <c r="K17" i="58"/>
  <c r="K19" i="58" s="1"/>
  <c r="J17" i="58"/>
  <c r="J19" i="58" s="1"/>
  <c r="H17" i="58"/>
  <c r="G17" i="58"/>
  <c r="E17" i="58"/>
  <c r="T16" i="58"/>
  <c r="S16" i="58"/>
  <c r="Q16" i="58"/>
  <c r="Q19" i="58" s="1"/>
  <c r="N16" i="58"/>
  <c r="M16" i="58"/>
  <c r="M19" i="58" s="1"/>
  <c r="K16" i="58"/>
  <c r="H16" i="58"/>
  <c r="H19" i="58" s="1"/>
  <c r="G16" i="58"/>
  <c r="G19" i="58" s="1"/>
  <c r="E16" i="58"/>
  <c r="E19" i="58" s="1"/>
  <c r="R15" i="58"/>
  <c r="P15" i="58"/>
  <c r="O15" i="58"/>
  <c r="L15" i="58"/>
  <c r="J15" i="58"/>
  <c r="I15" i="58"/>
  <c r="F15" i="58"/>
  <c r="D15" i="58"/>
  <c r="C15" i="58"/>
  <c r="T14" i="58"/>
  <c r="S14" i="58"/>
  <c r="Q14" i="58"/>
  <c r="N14" i="58"/>
  <c r="M14" i="58"/>
  <c r="K14" i="58"/>
  <c r="H14" i="58"/>
  <c r="U14" i="58" s="1"/>
  <c r="G14" i="58"/>
  <c r="E14" i="58"/>
  <c r="T13" i="58"/>
  <c r="T15" i="58" s="1"/>
  <c r="S13" i="58"/>
  <c r="Q13" i="58"/>
  <c r="N13" i="58"/>
  <c r="U13" i="58" s="1"/>
  <c r="M13" i="58"/>
  <c r="K13" i="58"/>
  <c r="H13" i="58"/>
  <c r="G13" i="58"/>
  <c r="G15" i="58" s="1"/>
  <c r="E13" i="58"/>
  <c r="T12" i="58"/>
  <c r="S12" i="58"/>
  <c r="S15" i="58" s="1"/>
  <c r="Q12" i="58"/>
  <c r="Q15" i="58" s="1"/>
  <c r="N12" i="58"/>
  <c r="N15" i="58" s="1"/>
  <c r="M12" i="58"/>
  <c r="M15" i="58" s="1"/>
  <c r="K12" i="58"/>
  <c r="K15" i="58" s="1"/>
  <c r="H12" i="58"/>
  <c r="H15" i="58" s="1"/>
  <c r="G12" i="58"/>
  <c r="E12" i="58"/>
  <c r="E15" i="58" s="1"/>
  <c r="R11" i="58"/>
  <c r="P11" i="58"/>
  <c r="O11" i="58"/>
  <c r="L11" i="58"/>
  <c r="I11" i="58"/>
  <c r="I25" i="58" s="1"/>
  <c r="F11" i="58"/>
  <c r="D11" i="58"/>
  <c r="C11" i="58"/>
  <c r="T10" i="58"/>
  <c r="S10" i="58"/>
  <c r="Q10" i="58"/>
  <c r="M10" i="58"/>
  <c r="K10" i="58"/>
  <c r="J10" i="58"/>
  <c r="N10" i="58" s="1"/>
  <c r="H10" i="58"/>
  <c r="G10" i="58"/>
  <c r="E10" i="58"/>
  <c r="T9" i="58"/>
  <c r="S9" i="58"/>
  <c r="Q9" i="58"/>
  <c r="M9" i="58"/>
  <c r="K9" i="58"/>
  <c r="J9" i="58"/>
  <c r="N9" i="58" s="1"/>
  <c r="H9" i="58"/>
  <c r="U9" i="58" s="1"/>
  <c r="G9" i="58"/>
  <c r="E9" i="58"/>
  <c r="T8" i="58"/>
  <c r="S8" i="58"/>
  <c r="Q8" i="58"/>
  <c r="Q11" i="58" s="1"/>
  <c r="M8" i="58"/>
  <c r="K8" i="58"/>
  <c r="J8" i="58"/>
  <c r="N8" i="58" s="1"/>
  <c r="H8" i="58"/>
  <c r="H11" i="58" s="1"/>
  <c r="G8" i="58"/>
  <c r="E8" i="58"/>
  <c r="T7" i="58"/>
  <c r="T11" i="58" s="1"/>
  <c r="S7" i="58"/>
  <c r="S11" i="58" s="1"/>
  <c r="Q7" i="58"/>
  <c r="N7" i="58"/>
  <c r="U7" i="58" s="1"/>
  <c r="M7" i="58"/>
  <c r="M11" i="58" s="1"/>
  <c r="K7" i="58"/>
  <c r="K11" i="58" s="1"/>
  <c r="H7" i="58"/>
  <c r="G7" i="58"/>
  <c r="G11" i="58" s="1"/>
  <c r="E7" i="58"/>
  <c r="E11" i="58" s="1"/>
  <c r="R49" i="62"/>
  <c r="P49" i="62"/>
  <c r="L49" i="62"/>
  <c r="J49" i="62"/>
  <c r="F49" i="62"/>
  <c r="D49" i="62"/>
  <c r="S48" i="62"/>
  <c r="Q48" i="62"/>
  <c r="O48" i="62"/>
  <c r="T48" i="62" s="1"/>
  <c r="M48" i="62"/>
  <c r="K48" i="62"/>
  <c r="I48" i="62"/>
  <c r="N48" i="62" s="1"/>
  <c r="G48" i="62"/>
  <c r="E48" i="62"/>
  <c r="C48" i="62"/>
  <c r="H48" i="62" s="1"/>
  <c r="U48" i="62" s="1"/>
  <c r="S47" i="62"/>
  <c r="Q47" i="62"/>
  <c r="O47" i="62"/>
  <c r="T47" i="62" s="1"/>
  <c r="M47" i="62"/>
  <c r="K47" i="62"/>
  <c r="I47" i="62"/>
  <c r="N47" i="62" s="1"/>
  <c r="G47" i="62"/>
  <c r="E47" i="62"/>
  <c r="C47" i="62"/>
  <c r="H47" i="62" s="1"/>
  <c r="S46" i="62"/>
  <c r="Q46" i="62"/>
  <c r="Q49" i="62" s="1"/>
  <c r="O46" i="62"/>
  <c r="T46" i="62" s="1"/>
  <c r="M46" i="62"/>
  <c r="K46" i="62"/>
  <c r="I46" i="62"/>
  <c r="N46" i="62" s="1"/>
  <c r="G46" i="62"/>
  <c r="E46" i="62"/>
  <c r="E49" i="62" s="1"/>
  <c r="C46" i="62"/>
  <c r="H46" i="62" s="1"/>
  <c r="U46" i="62" s="1"/>
  <c r="S45" i="62"/>
  <c r="S49" i="62" s="1"/>
  <c r="Q45" i="62"/>
  <c r="O45" i="62"/>
  <c r="O49" i="62" s="1"/>
  <c r="M45" i="62"/>
  <c r="K45" i="62"/>
  <c r="I45" i="62"/>
  <c r="N45" i="62" s="1"/>
  <c r="G45" i="62"/>
  <c r="G49" i="62" s="1"/>
  <c r="E45" i="62"/>
  <c r="C45" i="62"/>
  <c r="C49" i="62" s="1"/>
  <c r="R44" i="62"/>
  <c r="R50" i="62" s="1"/>
  <c r="P44" i="62"/>
  <c r="P50" i="62" s="1"/>
  <c r="L44" i="62"/>
  <c r="L50" i="62" s="1"/>
  <c r="J44" i="62"/>
  <c r="J50" i="62" s="1"/>
  <c r="F44" i="62"/>
  <c r="F50" i="62" s="1"/>
  <c r="S43" i="62"/>
  <c r="Q43" i="62"/>
  <c r="O43" i="62"/>
  <c r="T43" i="62" s="1"/>
  <c r="M43" i="62"/>
  <c r="K43" i="62"/>
  <c r="I43" i="62"/>
  <c r="N43" i="62" s="1"/>
  <c r="G43" i="62"/>
  <c r="E43" i="62"/>
  <c r="D43" i="62"/>
  <c r="D44" i="62" s="1"/>
  <c r="D50" i="62" s="1"/>
  <c r="C43" i="62"/>
  <c r="H43" i="62" s="1"/>
  <c r="S42" i="62"/>
  <c r="Q42" i="62"/>
  <c r="O42" i="62"/>
  <c r="T42" i="62" s="1"/>
  <c r="M42" i="62"/>
  <c r="K42" i="62"/>
  <c r="I42" i="62"/>
  <c r="N42" i="62" s="1"/>
  <c r="G42" i="62"/>
  <c r="E42" i="62"/>
  <c r="C42" i="62"/>
  <c r="H42" i="62" s="1"/>
  <c r="U42" i="62" s="1"/>
  <c r="S41" i="62"/>
  <c r="Q41" i="62"/>
  <c r="O41" i="62"/>
  <c r="T41" i="62" s="1"/>
  <c r="M41" i="62"/>
  <c r="K41" i="62"/>
  <c r="I41" i="62"/>
  <c r="N41" i="62" s="1"/>
  <c r="G41" i="62"/>
  <c r="E41" i="62"/>
  <c r="D41" i="62"/>
  <c r="C41" i="62"/>
  <c r="H41" i="62" s="1"/>
  <c r="S40" i="62"/>
  <c r="S44" i="62" s="1"/>
  <c r="Q40" i="62"/>
  <c r="Q44" i="62" s="1"/>
  <c r="O40" i="62"/>
  <c r="O44" i="62" s="1"/>
  <c r="T44" i="62" s="1"/>
  <c r="M40" i="62"/>
  <c r="M44" i="62" s="1"/>
  <c r="K40" i="62"/>
  <c r="I40" i="62"/>
  <c r="I44" i="62" s="1"/>
  <c r="N44" i="62" s="1"/>
  <c r="G40" i="62"/>
  <c r="G44" i="62" s="1"/>
  <c r="E40" i="62"/>
  <c r="C40" i="62"/>
  <c r="C44" i="62" s="1"/>
  <c r="H44" i="62" s="1"/>
  <c r="U44" i="62" s="1"/>
  <c r="R38" i="62"/>
  <c r="R39" i="62" s="1"/>
  <c r="P38" i="62"/>
  <c r="P39" i="62" s="1"/>
  <c r="L38" i="62"/>
  <c r="L39" i="62" s="1"/>
  <c r="J38" i="62"/>
  <c r="J39" i="62" s="1"/>
  <c r="F38" i="62"/>
  <c r="F39" i="62" s="1"/>
  <c r="S37" i="62"/>
  <c r="Q37" i="62"/>
  <c r="O37" i="62"/>
  <c r="T37" i="62" s="1"/>
  <c r="M37" i="62"/>
  <c r="K37" i="62"/>
  <c r="I37" i="62"/>
  <c r="N37" i="62" s="1"/>
  <c r="G37" i="62"/>
  <c r="E37" i="62"/>
  <c r="D37" i="62"/>
  <c r="D38" i="62" s="1"/>
  <c r="D39" i="62" s="1"/>
  <c r="C37" i="62"/>
  <c r="H37" i="62" s="1"/>
  <c r="S36" i="62"/>
  <c r="Q36" i="62"/>
  <c r="O36" i="62"/>
  <c r="T36" i="62" s="1"/>
  <c r="M36" i="62"/>
  <c r="K36" i="62"/>
  <c r="I36" i="62"/>
  <c r="N36" i="62" s="1"/>
  <c r="G36" i="62"/>
  <c r="E36" i="62"/>
  <c r="C36" i="62"/>
  <c r="H36" i="62" s="1"/>
  <c r="U36" i="62" s="1"/>
  <c r="S35" i="62"/>
  <c r="Q35" i="62"/>
  <c r="O35" i="62"/>
  <c r="T35" i="62" s="1"/>
  <c r="M35" i="62"/>
  <c r="K35" i="62"/>
  <c r="I35" i="62"/>
  <c r="N35" i="62" s="1"/>
  <c r="G35" i="62"/>
  <c r="E35" i="62"/>
  <c r="D35" i="62"/>
  <c r="C35" i="62"/>
  <c r="H35" i="62" s="1"/>
  <c r="S34" i="62"/>
  <c r="S38" i="62" s="1"/>
  <c r="Q34" i="62"/>
  <c r="Q38" i="62" s="1"/>
  <c r="O34" i="62"/>
  <c r="O38" i="62" s="1"/>
  <c r="M34" i="62"/>
  <c r="M38" i="62" s="1"/>
  <c r="K34" i="62"/>
  <c r="I34" i="62"/>
  <c r="I38" i="62" s="1"/>
  <c r="G34" i="62"/>
  <c r="G38" i="62" s="1"/>
  <c r="E34" i="62"/>
  <c r="C34" i="62"/>
  <c r="C38" i="62" s="1"/>
  <c r="R33" i="62"/>
  <c r="P33" i="62"/>
  <c r="L33" i="62"/>
  <c r="J33" i="62"/>
  <c r="F33" i="62"/>
  <c r="D33" i="62"/>
  <c r="S32" i="62"/>
  <c r="Q32" i="62"/>
  <c r="O32" i="62"/>
  <c r="T32" i="62" s="1"/>
  <c r="M32" i="62"/>
  <c r="K32" i="62"/>
  <c r="I32" i="62"/>
  <c r="N32" i="62" s="1"/>
  <c r="G32" i="62"/>
  <c r="E32" i="62"/>
  <c r="C32" i="62"/>
  <c r="H32" i="62" s="1"/>
  <c r="S31" i="62"/>
  <c r="Q31" i="62"/>
  <c r="O31" i="62"/>
  <c r="T31" i="62" s="1"/>
  <c r="M31" i="62"/>
  <c r="K31" i="62"/>
  <c r="I31" i="62"/>
  <c r="N31" i="62" s="1"/>
  <c r="G31" i="62"/>
  <c r="E31" i="62"/>
  <c r="C31" i="62"/>
  <c r="H31" i="62" s="1"/>
  <c r="S30" i="62"/>
  <c r="Q30" i="62"/>
  <c r="O30" i="62"/>
  <c r="T30" i="62" s="1"/>
  <c r="M30" i="62"/>
  <c r="K30" i="62"/>
  <c r="I30" i="62"/>
  <c r="N30" i="62" s="1"/>
  <c r="G30" i="62"/>
  <c r="E30" i="62"/>
  <c r="C30" i="62"/>
  <c r="H30" i="62" s="1"/>
  <c r="U30" i="62" s="1"/>
  <c r="S29" i="62"/>
  <c r="S33" i="62" s="1"/>
  <c r="Q29" i="62"/>
  <c r="O29" i="62"/>
  <c r="O33" i="62" s="1"/>
  <c r="T33" i="62" s="1"/>
  <c r="M29" i="62"/>
  <c r="K29" i="62"/>
  <c r="I29" i="62"/>
  <c r="N29" i="62" s="1"/>
  <c r="G29" i="62"/>
  <c r="G33" i="62" s="1"/>
  <c r="E29" i="62"/>
  <c r="C29" i="62"/>
  <c r="C33" i="62" s="1"/>
  <c r="H33" i="62" s="1"/>
  <c r="R28" i="62"/>
  <c r="P28" i="62"/>
  <c r="L28" i="62"/>
  <c r="J28" i="62"/>
  <c r="F28" i="62"/>
  <c r="D28" i="62"/>
  <c r="S27" i="62"/>
  <c r="Q27" i="62"/>
  <c r="O27" i="62"/>
  <c r="T27" i="62" s="1"/>
  <c r="M27" i="62"/>
  <c r="K27" i="62"/>
  <c r="I27" i="62"/>
  <c r="N27" i="62" s="1"/>
  <c r="G27" i="62"/>
  <c r="E27" i="62"/>
  <c r="C27" i="62"/>
  <c r="H27" i="62" s="1"/>
  <c r="T26" i="62"/>
  <c r="S26" i="62"/>
  <c r="S28" i="62" s="1"/>
  <c r="Q26" i="62"/>
  <c r="O26" i="62"/>
  <c r="O28" i="62" s="1"/>
  <c r="T28" i="62" s="1"/>
  <c r="M26" i="62"/>
  <c r="K26" i="62"/>
  <c r="K28" i="62" s="1"/>
  <c r="I26" i="62"/>
  <c r="N26" i="62" s="1"/>
  <c r="G26" i="62"/>
  <c r="G28" i="62" s="1"/>
  <c r="E26" i="62"/>
  <c r="E28" i="62" s="1"/>
  <c r="C26" i="62"/>
  <c r="C28" i="62" s="1"/>
  <c r="H28" i="62" s="1"/>
  <c r="R24" i="62"/>
  <c r="R25" i="62" s="1"/>
  <c r="P24" i="62"/>
  <c r="P25" i="62" s="1"/>
  <c r="L24" i="62"/>
  <c r="L25" i="62" s="1"/>
  <c r="J24" i="62"/>
  <c r="J25" i="62" s="1"/>
  <c r="F24" i="62"/>
  <c r="F25" i="62" s="1"/>
  <c r="D24" i="62"/>
  <c r="D25" i="62" s="1"/>
  <c r="S23" i="62"/>
  <c r="Q23" i="62"/>
  <c r="O23" i="62"/>
  <c r="T23" i="62" s="1"/>
  <c r="M23" i="62"/>
  <c r="K23" i="62"/>
  <c r="I23" i="62"/>
  <c r="N23" i="62" s="1"/>
  <c r="G23" i="62"/>
  <c r="E23" i="62"/>
  <c r="C23" i="62"/>
  <c r="H23" i="62" s="1"/>
  <c r="S22" i="62"/>
  <c r="Q22" i="62"/>
  <c r="O22" i="62"/>
  <c r="T22" i="62" s="1"/>
  <c r="M22" i="62"/>
  <c r="K22" i="62"/>
  <c r="I22" i="62"/>
  <c r="N22" i="62" s="1"/>
  <c r="G22" i="62"/>
  <c r="E22" i="62"/>
  <c r="C22" i="62"/>
  <c r="H22" i="62" s="1"/>
  <c r="U22" i="62" s="1"/>
  <c r="S21" i="62"/>
  <c r="Q21" i="62"/>
  <c r="O21" i="62"/>
  <c r="T21" i="62" s="1"/>
  <c r="M21" i="62"/>
  <c r="K21" i="62"/>
  <c r="I21" i="62"/>
  <c r="N21" i="62" s="1"/>
  <c r="G21" i="62"/>
  <c r="E21" i="62"/>
  <c r="C21" i="62"/>
  <c r="H21" i="62" s="1"/>
  <c r="S20" i="62"/>
  <c r="Q20" i="62"/>
  <c r="Q24" i="62" s="1"/>
  <c r="O20" i="62"/>
  <c r="T20" i="62" s="1"/>
  <c r="M20" i="62"/>
  <c r="K20" i="62"/>
  <c r="K24" i="62" s="1"/>
  <c r="I20" i="62"/>
  <c r="N20" i="62" s="1"/>
  <c r="G20" i="62"/>
  <c r="E20" i="62"/>
  <c r="E24" i="62" s="1"/>
  <c r="C20" i="62"/>
  <c r="H20" i="62" s="1"/>
  <c r="U20" i="62" s="1"/>
  <c r="R19" i="62"/>
  <c r="P19" i="62"/>
  <c r="L19" i="62"/>
  <c r="J19" i="62"/>
  <c r="F19" i="62"/>
  <c r="D19" i="62"/>
  <c r="T18" i="62"/>
  <c r="S18" i="62"/>
  <c r="Q18" i="62"/>
  <c r="O18" i="62"/>
  <c r="N18" i="62"/>
  <c r="M18" i="62"/>
  <c r="K18" i="62"/>
  <c r="I18" i="62"/>
  <c r="H18" i="62"/>
  <c r="U18" i="62" s="1"/>
  <c r="G18" i="62"/>
  <c r="E18" i="62"/>
  <c r="C18" i="62"/>
  <c r="S17" i="62"/>
  <c r="Q17" i="62"/>
  <c r="O17" i="62"/>
  <c r="T17" i="62" s="1"/>
  <c r="M17" i="62"/>
  <c r="K17" i="62"/>
  <c r="I17" i="62"/>
  <c r="G17" i="62"/>
  <c r="E17" i="62"/>
  <c r="C17" i="62"/>
  <c r="H17" i="62" s="1"/>
  <c r="S16" i="62"/>
  <c r="Q16" i="62"/>
  <c r="O16" i="62"/>
  <c r="T16" i="62" s="1"/>
  <c r="M16" i="62"/>
  <c r="K16" i="62"/>
  <c r="I16" i="62"/>
  <c r="N16" i="62" s="1"/>
  <c r="G16" i="62"/>
  <c r="E16" i="62"/>
  <c r="C16" i="62"/>
  <c r="H16" i="62" s="1"/>
  <c r="U16" i="62" s="1"/>
  <c r="R15" i="62"/>
  <c r="P15" i="62"/>
  <c r="L15" i="62"/>
  <c r="J15" i="62"/>
  <c r="F15" i="62"/>
  <c r="D15" i="62"/>
  <c r="S14" i="62"/>
  <c r="Q14" i="62"/>
  <c r="O14" i="62"/>
  <c r="T14" i="62" s="1"/>
  <c r="M14" i="62"/>
  <c r="K14" i="62"/>
  <c r="I14" i="62"/>
  <c r="N14" i="62" s="1"/>
  <c r="G14" i="62"/>
  <c r="E14" i="62"/>
  <c r="C14" i="62"/>
  <c r="H14" i="62" s="1"/>
  <c r="U14" i="62" s="1"/>
  <c r="S13" i="62"/>
  <c r="Q13" i="62"/>
  <c r="O13" i="62"/>
  <c r="M13" i="62"/>
  <c r="M15" i="62" s="1"/>
  <c r="K13" i="62"/>
  <c r="I13" i="62"/>
  <c r="G13" i="62"/>
  <c r="E13" i="62"/>
  <c r="C13" i="62"/>
  <c r="T12" i="62"/>
  <c r="S12" i="62"/>
  <c r="Q12" i="62"/>
  <c r="Q15" i="62" s="1"/>
  <c r="O12" i="62"/>
  <c r="N12" i="62"/>
  <c r="M12" i="62"/>
  <c r="K12" i="62"/>
  <c r="K15" i="62" s="1"/>
  <c r="I12" i="62"/>
  <c r="H12" i="62"/>
  <c r="U12" i="62" s="1"/>
  <c r="G12" i="62"/>
  <c r="E12" i="62"/>
  <c r="E15" i="62" s="1"/>
  <c r="C12" i="62"/>
  <c r="R11" i="62"/>
  <c r="P11" i="62"/>
  <c r="L11" i="62"/>
  <c r="J11" i="62"/>
  <c r="F11" i="62"/>
  <c r="D11" i="62"/>
  <c r="T10" i="62"/>
  <c r="S10" i="62"/>
  <c r="Q10" i="62"/>
  <c r="O10" i="62"/>
  <c r="N10" i="62"/>
  <c r="M10" i="62"/>
  <c r="K10" i="62"/>
  <c r="I10" i="62"/>
  <c r="H10" i="62"/>
  <c r="U10" i="62" s="1"/>
  <c r="G10" i="62"/>
  <c r="E10" i="62"/>
  <c r="C10" i="62"/>
  <c r="S9" i="62"/>
  <c r="Q9" i="62"/>
  <c r="O9" i="62"/>
  <c r="T9" i="62" s="1"/>
  <c r="M9" i="62"/>
  <c r="K9" i="62"/>
  <c r="I9" i="62"/>
  <c r="N9" i="62" s="1"/>
  <c r="G9" i="62"/>
  <c r="E9" i="62"/>
  <c r="C9" i="62"/>
  <c r="H9" i="62" s="1"/>
  <c r="U9" i="62" s="1"/>
  <c r="S8" i="62"/>
  <c r="Q8" i="62"/>
  <c r="O8" i="62"/>
  <c r="T8" i="62" s="1"/>
  <c r="M8" i="62"/>
  <c r="K8" i="62"/>
  <c r="I8" i="62"/>
  <c r="N8" i="62" s="1"/>
  <c r="G8" i="62"/>
  <c r="E8" i="62"/>
  <c r="C8" i="62"/>
  <c r="H8" i="62" s="1"/>
  <c r="S7" i="62"/>
  <c r="Q7" i="62"/>
  <c r="O7" i="62"/>
  <c r="M7" i="62"/>
  <c r="K7" i="62"/>
  <c r="I7" i="62"/>
  <c r="G7" i="62"/>
  <c r="E7" i="62"/>
  <c r="C7" i="62"/>
  <c r="H66" i="62"/>
  <c r="M62" i="62"/>
  <c r="H62" i="62"/>
  <c r="M61" i="62"/>
  <c r="M59" i="62"/>
  <c r="M58" i="62"/>
  <c r="M56" i="62"/>
  <c r="T49" i="57"/>
  <c r="T50" i="57" s="1"/>
  <c r="R49" i="57"/>
  <c r="R50" i="57" s="1"/>
  <c r="P49" i="57"/>
  <c r="P50" i="57" s="1"/>
  <c r="O49" i="57"/>
  <c r="O50" i="57" s="1"/>
  <c r="L49" i="57"/>
  <c r="L50" i="57" s="1"/>
  <c r="J49" i="57"/>
  <c r="J50" i="57" s="1"/>
  <c r="I49" i="57"/>
  <c r="F49" i="57"/>
  <c r="F50" i="57" s="1"/>
  <c r="C49" i="57"/>
  <c r="C50" i="57" s="1"/>
  <c r="T48" i="57"/>
  <c r="S48" i="57"/>
  <c r="Q48" i="57"/>
  <c r="N48" i="57"/>
  <c r="M48" i="57"/>
  <c r="K48" i="57"/>
  <c r="H48" i="57"/>
  <c r="U48" i="57" s="1"/>
  <c r="G48" i="57"/>
  <c r="E48" i="57"/>
  <c r="T47" i="57"/>
  <c r="S47" i="57"/>
  <c r="Q47" i="57"/>
  <c r="N47" i="57"/>
  <c r="U47" i="57" s="1"/>
  <c r="M47" i="57"/>
  <c r="K47" i="57"/>
  <c r="H47" i="57"/>
  <c r="G47" i="57"/>
  <c r="E47" i="57"/>
  <c r="T46" i="57"/>
  <c r="S46" i="57"/>
  <c r="S49" i="57" s="1"/>
  <c r="S50" i="57" s="1"/>
  <c r="Q46" i="57"/>
  <c r="N46" i="57"/>
  <c r="M46" i="57"/>
  <c r="K46" i="57"/>
  <c r="K49" i="57" s="1"/>
  <c r="K50" i="57" s="1"/>
  <c r="G46" i="57"/>
  <c r="D46" i="57"/>
  <c r="H46" i="57" s="1"/>
  <c r="U46" i="57" s="1"/>
  <c r="T45" i="57"/>
  <c r="S45" i="57"/>
  <c r="Q45" i="57"/>
  <c r="Q49" i="57" s="1"/>
  <c r="N45" i="57"/>
  <c r="N49" i="57" s="1"/>
  <c r="M45" i="57"/>
  <c r="M49" i="57" s="1"/>
  <c r="K45" i="57"/>
  <c r="H45" i="57"/>
  <c r="U45" i="57" s="1"/>
  <c r="G45" i="57"/>
  <c r="G49" i="57" s="1"/>
  <c r="E45" i="57"/>
  <c r="D45" i="57"/>
  <c r="R44" i="57"/>
  <c r="P44" i="57"/>
  <c r="O44" i="57"/>
  <c r="L44" i="57"/>
  <c r="J44" i="57"/>
  <c r="I44" i="57"/>
  <c r="I50" i="57" s="1"/>
  <c r="F44" i="57"/>
  <c r="D44" i="57"/>
  <c r="C44" i="57"/>
  <c r="T43" i="57"/>
  <c r="S43" i="57"/>
  <c r="Q43" i="57"/>
  <c r="N43" i="57"/>
  <c r="M43" i="57"/>
  <c r="K43" i="57"/>
  <c r="H43" i="57"/>
  <c r="U43" i="57" s="1"/>
  <c r="G43" i="57"/>
  <c r="E43" i="57"/>
  <c r="T42" i="57"/>
  <c r="S42" i="57"/>
  <c r="Q42" i="57"/>
  <c r="N42" i="57"/>
  <c r="M42" i="57"/>
  <c r="K42" i="57"/>
  <c r="H42" i="57"/>
  <c r="U42" i="57" s="1"/>
  <c r="G42" i="57"/>
  <c r="E42" i="57"/>
  <c r="T41" i="57"/>
  <c r="S41" i="57"/>
  <c r="S44" i="57" s="1"/>
  <c r="Q41" i="57"/>
  <c r="N41" i="57"/>
  <c r="M41" i="57"/>
  <c r="M44" i="57" s="1"/>
  <c r="K41" i="57"/>
  <c r="K44" i="57" s="1"/>
  <c r="H41" i="57"/>
  <c r="U41" i="57" s="1"/>
  <c r="G41" i="57"/>
  <c r="E41" i="57"/>
  <c r="E44" i="57" s="1"/>
  <c r="T40" i="57"/>
  <c r="T44" i="57" s="1"/>
  <c r="S40" i="57"/>
  <c r="Q40" i="57"/>
  <c r="Q44" i="57" s="1"/>
  <c r="N40" i="57"/>
  <c r="N44" i="57" s="1"/>
  <c r="M40" i="57"/>
  <c r="K40" i="57"/>
  <c r="H40" i="57"/>
  <c r="H44" i="57" s="1"/>
  <c r="G40" i="57"/>
  <c r="G44" i="57" s="1"/>
  <c r="E40" i="57"/>
  <c r="P39" i="57"/>
  <c r="L39" i="57"/>
  <c r="S38" i="57"/>
  <c r="R38" i="57"/>
  <c r="R39" i="57" s="1"/>
  <c r="P38" i="57"/>
  <c r="O38" i="57"/>
  <c r="O39" i="57" s="1"/>
  <c r="L38" i="57"/>
  <c r="K38" i="57"/>
  <c r="J38" i="57"/>
  <c r="J39" i="57" s="1"/>
  <c r="I38" i="57"/>
  <c r="I39" i="57" s="1"/>
  <c r="G38" i="57"/>
  <c r="F38" i="57"/>
  <c r="F39" i="57" s="1"/>
  <c r="D38" i="57"/>
  <c r="C38" i="57"/>
  <c r="C39" i="57" s="1"/>
  <c r="T37" i="57"/>
  <c r="S37" i="57"/>
  <c r="Q37" i="57"/>
  <c r="N37" i="57"/>
  <c r="M37" i="57"/>
  <c r="K37" i="57"/>
  <c r="H37" i="57"/>
  <c r="U37" i="57" s="1"/>
  <c r="G37" i="57"/>
  <c r="E37" i="57"/>
  <c r="T36" i="57"/>
  <c r="S36" i="57"/>
  <c r="Q36" i="57"/>
  <c r="N36" i="57"/>
  <c r="M36" i="57"/>
  <c r="K36" i="57"/>
  <c r="H36" i="57"/>
  <c r="U36" i="57" s="1"/>
  <c r="G36" i="57"/>
  <c r="E36" i="57"/>
  <c r="T35" i="57"/>
  <c r="S35" i="57"/>
  <c r="Q35" i="57"/>
  <c r="N35" i="57"/>
  <c r="N38" i="57" s="1"/>
  <c r="M35" i="57"/>
  <c r="K35" i="57"/>
  <c r="H35" i="57"/>
  <c r="U35" i="57" s="1"/>
  <c r="G35" i="57"/>
  <c r="E35" i="57"/>
  <c r="T34" i="57"/>
  <c r="T38" i="57" s="1"/>
  <c r="S34" i="57"/>
  <c r="Q34" i="57"/>
  <c r="Q38" i="57" s="1"/>
  <c r="N34" i="57"/>
  <c r="M34" i="57"/>
  <c r="M38" i="57" s="1"/>
  <c r="K34" i="57"/>
  <c r="H34" i="57"/>
  <c r="H38" i="57" s="1"/>
  <c r="G34" i="57"/>
  <c r="E34" i="57"/>
  <c r="E38" i="57" s="1"/>
  <c r="R33" i="57"/>
  <c r="P33" i="57"/>
  <c r="O33" i="57"/>
  <c r="L33" i="57"/>
  <c r="J33" i="57"/>
  <c r="I33" i="57"/>
  <c r="F33" i="57"/>
  <c r="C33" i="57"/>
  <c r="T32" i="57"/>
  <c r="S32" i="57"/>
  <c r="Q32" i="57"/>
  <c r="N32" i="57"/>
  <c r="U32" i="57" s="1"/>
  <c r="M32" i="57"/>
  <c r="K32" i="57"/>
  <c r="H32" i="57"/>
  <c r="G32" i="57"/>
  <c r="E32" i="57"/>
  <c r="T31" i="57"/>
  <c r="S31" i="57"/>
  <c r="Q31" i="57"/>
  <c r="N31" i="57"/>
  <c r="U31" i="57" s="1"/>
  <c r="M31" i="57"/>
  <c r="K31" i="57"/>
  <c r="H31" i="57"/>
  <c r="G31" i="57"/>
  <c r="E31" i="57"/>
  <c r="T30" i="57"/>
  <c r="T33" i="57" s="1"/>
  <c r="S30" i="57"/>
  <c r="Q30" i="57"/>
  <c r="N30" i="57"/>
  <c r="N33" i="57" s="1"/>
  <c r="M30" i="57"/>
  <c r="M33" i="57" s="1"/>
  <c r="K30" i="57"/>
  <c r="H30" i="57"/>
  <c r="G30" i="57"/>
  <c r="E30" i="57"/>
  <c r="T29" i="57"/>
  <c r="S29" i="57"/>
  <c r="S33" i="57" s="1"/>
  <c r="Q29" i="57"/>
  <c r="Q33" i="57" s="1"/>
  <c r="N29" i="57"/>
  <c r="M29" i="57"/>
  <c r="K29" i="57"/>
  <c r="K33" i="57" s="1"/>
  <c r="G29" i="57"/>
  <c r="G33" i="57" s="1"/>
  <c r="D29" i="57"/>
  <c r="H29" i="57" s="1"/>
  <c r="R28" i="57"/>
  <c r="P28" i="57"/>
  <c r="O28" i="57"/>
  <c r="L28" i="57"/>
  <c r="J28" i="57"/>
  <c r="I28" i="57"/>
  <c r="F28" i="57"/>
  <c r="D28" i="57"/>
  <c r="C28" i="57"/>
  <c r="T27" i="57"/>
  <c r="T28" i="57" s="1"/>
  <c r="S27" i="57"/>
  <c r="Q27" i="57"/>
  <c r="N27" i="57"/>
  <c r="N28" i="57" s="1"/>
  <c r="M27" i="57"/>
  <c r="M28" i="57" s="1"/>
  <c r="K27" i="57"/>
  <c r="H27" i="57"/>
  <c r="G27" i="57"/>
  <c r="E27" i="57"/>
  <c r="E28" i="57" s="1"/>
  <c r="T26" i="57"/>
  <c r="S26" i="57"/>
  <c r="S28" i="57" s="1"/>
  <c r="Q26" i="57"/>
  <c r="Q28" i="57" s="1"/>
  <c r="N26" i="57"/>
  <c r="M26" i="57"/>
  <c r="K26" i="57"/>
  <c r="K28" i="57" s="1"/>
  <c r="H26" i="57"/>
  <c r="H28" i="57" s="1"/>
  <c r="G26" i="57"/>
  <c r="G28" i="57" s="1"/>
  <c r="E26" i="57"/>
  <c r="T24" i="57"/>
  <c r="R24" i="57"/>
  <c r="R25" i="57" s="1"/>
  <c r="P24" i="57"/>
  <c r="P25" i="57" s="1"/>
  <c r="O24" i="57"/>
  <c r="O25" i="57" s="1"/>
  <c r="L24" i="57"/>
  <c r="L25" i="57" s="1"/>
  <c r="J24" i="57"/>
  <c r="I24" i="57"/>
  <c r="H24" i="57"/>
  <c r="F24" i="57"/>
  <c r="F25" i="57" s="1"/>
  <c r="D24" i="57"/>
  <c r="D25" i="57" s="1"/>
  <c r="C24" i="57"/>
  <c r="C25" i="57" s="1"/>
  <c r="T23" i="57"/>
  <c r="S23" i="57"/>
  <c r="Q23" i="57"/>
  <c r="N23" i="57"/>
  <c r="M23" i="57"/>
  <c r="K23" i="57"/>
  <c r="H23" i="57"/>
  <c r="U23" i="57" s="1"/>
  <c r="G23" i="57"/>
  <c r="E23" i="57"/>
  <c r="T22" i="57"/>
  <c r="S22" i="57"/>
  <c r="Q22" i="57"/>
  <c r="N22" i="57"/>
  <c r="U22" i="57" s="1"/>
  <c r="M22" i="57"/>
  <c r="K22" i="57"/>
  <c r="H22" i="57"/>
  <c r="G22" i="57"/>
  <c r="E22" i="57"/>
  <c r="T21" i="57"/>
  <c r="S21" i="57"/>
  <c r="Q21" i="57"/>
  <c r="N21" i="57"/>
  <c r="M21" i="57"/>
  <c r="K21" i="57"/>
  <c r="H21" i="57"/>
  <c r="U21" i="57" s="1"/>
  <c r="G21" i="57"/>
  <c r="E21" i="57"/>
  <c r="T20" i="57"/>
  <c r="S20" i="57"/>
  <c r="S24" i="57" s="1"/>
  <c r="Q20" i="57"/>
  <c r="Q24" i="57" s="1"/>
  <c r="N20" i="57"/>
  <c r="N24" i="57" s="1"/>
  <c r="M20" i="57"/>
  <c r="M24" i="57" s="1"/>
  <c r="K20" i="57"/>
  <c r="K24" i="57" s="1"/>
  <c r="H20" i="57"/>
  <c r="G20" i="57"/>
  <c r="G24" i="57" s="1"/>
  <c r="E20" i="57"/>
  <c r="E24" i="57" s="1"/>
  <c r="S19" i="57"/>
  <c r="R19" i="57"/>
  <c r="P19" i="57"/>
  <c r="O19" i="57"/>
  <c r="L19" i="57"/>
  <c r="I19" i="57"/>
  <c r="G19" i="57"/>
  <c r="F19" i="57"/>
  <c r="D19" i="57"/>
  <c r="C19" i="57"/>
  <c r="T18" i="57"/>
  <c r="S18" i="57"/>
  <c r="Q18" i="57"/>
  <c r="M18" i="57"/>
  <c r="J18" i="57"/>
  <c r="J19" i="57" s="1"/>
  <c r="H18" i="57"/>
  <c r="G18" i="57"/>
  <c r="E18" i="57"/>
  <c r="U17" i="57"/>
  <c r="T17" i="57"/>
  <c r="S17" i="57"/>
  <c r="N17" i="57"/>
  <c r="M17" i="57"/>
  <c r="K17" i="57"/>
  <c r="H17" i="57"/>
  <c r="G17" i="57"/>
  <c r="E17" i="57"/>
  <c r="T16" i="57"/>
  <c r="T19" i="57" s="1"/>
  <c r="S16" i="57"/>
  <c r="Q16" i="57"/>
  <c r="Q19" i="57" s="1"/>
  <c r="N16" i="57"/>
  <c r="M16" i="57"/>
  <c r="M19" i="57" s="1"/>
  <c r="K16" i="57"/>
  <c r="H16" i="57"/>
  <c r="U16" i="57" s="1"/>
  <c r="G16" i="57"/>
  <c r="E16" i="57"/>
  <c r="E19" i="57" s="1"/>
  <c r="T15" i="57"/>
  <c r="R15" i="57"/>
  <c r="P15" i="57"/>
  <c r="O15" i="57"/>
  <c r="L15" i="57"/>
  <c r="J15" i="57"/>
  <c r="I15" i="57"/>
  <c r="H15" i="57"/>
  <c r="F15" i="57"/>
  <c r="D15" i="57"/>
  <c r="C15" i="57"/>
  <c r="T14" i="57"/>
  <c r="S14" i="57"/>
  <c r="Q14" i="57"/>
  <c r="N14" i="57"/>
  <c r="M14" i="57"/>
  <c r="K14" i="57"/>
  <c r="H14" i="57"/>
  <c r="U14" i="57" s="1"/>
  <c r="G14" i="57"/>
  <c r="E14" i="57"/>
  <c r="T13" i="57"/>
  <c r="S13" i="57"/>
  <c r="Q13" i="57"/>
  <c r="N13" i="57"/>
  <c r="U13" i="57" s="1"/>
  <c r="M13" i="57"/>
  <c r="K13" i="57"/>
  <c r="H13" i="57"/>
  <c r="G13" i="57"/>
  <c r="E13" i="57"/>
  <c r="T12" i="57"/>
  <c r="S12" i="57"/>
  <c r="S15" i="57" s="1"/>
  <c r="Q12" i="57"/>
  <c r="Q15" i="57" s="1"/>
  <c r="N12" i="57"/>
  <c r="N15" i="57" s="1"/>
  <c r="M12" i="57"/>
  <c r="M15" i="57" s="1"/>
  <c r="K12" i="57"/>
  <c r="K15" i="57" s="1"/>
  <c r="H12" i="57"/>
  <c r="U12" i="57" s="1"/>
  <c r="U15" i="57" s="1"/>
  <c r="G12" i="57"/>
  <c r="G15" i="57" s="1"/>
  <c r="E12" i="57"/>
  <c r="E15" i="57" s="1"/>
  <c r="R11" i="57"/>
  <c r="P11" i="57"/>
  <c r="O11" i="57"/>
  <c r="L11" i="57"/>
  <c r="J11" i="57"/>
  <c r="I11" i="57"/>
  <c r="I25" i="57" s="1"/>
  <c r="F11" i="57"/>
  <c r="D11" i="57"/>
  <c r="C11" i="57"/>
  <c r="T10" i="57"/>
  <c r="S10" i="57"/>
  <c r="Q10" i="57"/>
  <c r="N10" i="57"/>
  <c r="M10" i="57"/>
  <c r="K10" i="57"/>
  <c r="H10" i="57"/>
  <c r="U10" i="57" s="1"/>
  <c r="G10" i="57"/>
  <c r="E10" i="57"/>
  <c r="T9" i="57"/>
  <c r="S9" i="57"/>
  <c r="Q9" i="57"/>
  <c r="N9" i="57"/>
  <c r="M9" i="57"/>
  <c r="K9" i="57"/>
  <c r="H9" i="57"/>
  <c r="U9" i="57" s="1"/>
  <c r="G9" i="57"/>
  <c r="E9" i="57"/>
  <c r="T8" i="57"/>
  <c r="S8" i="57"/>
  <c r="S11" i="57" s="1"/>
  <c r="Q8" i="57"/>
  <c r="N8" i="57"/>
  <c r="M8" i="57"/>
  <c r="M11" i="57" s="1"/>
  <c r="K8" i="57"/>
  <c r="K11" i="57" s="1"/>
  <c r="H8" i="57"/>
  <c r="U8" i="57" s="1"/>
  <c r="G8" i="57"/>
  <c r="E8" i="57"/>
  <c r="E11" i="57" s="1"/>
  <c r="T7" i="57"/>
  <c r="T11" i="57" s="1"/>
  <c r="S7" i="57"/>
  <c r="Q7" i="57"/>
  <c r="Q11" i="57" s="1"/>
  <c r="N7" i="57"/>
  <c r="N11" i="57" s="1"/>
  <c r="M7" i="57"/>
  <c r="K7" i="57"/>
  <c r="H7" i="57"/>
  <c r="H11" i="57" s="1"/>
  <c r="G7" i="57"/>
  <c r="G11" i="57" s="1"/>
  <c r="E7" i="57"/>
  <c r="H66" i="61"/>
  <c r="M62" i="61"/>
  <c r="H62" i="61"/>
  <c r="M61" i="61"/>
  <c r="M59" i="61"/>
  <c r="M58" i="61"/>
  <c r="M56" i="61"/>
  <c r="H66" i="60"/>
  <c r="M62" i="60"/>
  <c r="H62" i="60"/>
  <c r="M61" i="60"/>
  <c r="M59" i="60"/>
  <c r="M58" i="60"/>
  <c r="M56" i="60"/>
  <c r="H66" i="59"/>
  <c r="M62" i="59"/>
  <c r="H62" i="59"/>
  <c r="M61" i="59"/>
  <c r="M59" i="59"/>
  <c r="M58" i="59"/>
  <c r="M56" i="59"/>
  <c r="H66" i="58"/>
  <c r="M62" i="58"/>
  <c r="H62" i="58"/>
  <c r="M61" i="58"/>
  <c r="M59" i="58"/>
  <c r="M58" i="58"/>
  <c r="M56" i="58"/>
  <c r="H66" i="57"/>
  <c r="M62" i="57"/>
  <c r="H62" i="57"/>
  <c r="M61" i="57"/>
  <c r="M59" i="57"/>
  <c r="M58" i="57"/>
  <c r="M56" i="57"/>
  <c r="S50" i="56"/>
  <c r="Q50" i="56"/>
  <c r="O50" i="56"/>
  <c r="M50" i="56"/>
  <c r="K50" i="56"/>
  <c r="I50" i="56"/>
  <c r="G50" i="56"/>
  <c r="E50" i="56"/>
  <c r="C50" i="56"/>
  <c r="R49" i="56"/>
  <c r="P49" i="56"/>
  <c r="P50" i="56" s="1"/>
  <c r="L49" i="56"/>
  <c r="L50" i="56" s="1"/>
  <c r="J49" i="56"/>
  <c r="J50" i="56" s="1"/>
  <c r="F49" i="56"/>
  <c r="F50" i="56" s="1"/>
  <c r="D49" i="56"/>
  <c r="T48" i="56"/>
  <c r="S48" i="56"/>
  <c r="Q48" i="56"/>
  <c r="O48" i="56"/>
  <c r="N48" i="56"/>
  <c r="M48" i="56"/>
  <c r="K48" i="56"/>
  <c r="I48" i="56"/>
  <c r="H48" i="56"/>
  <c r="U48" i="56" s="1"/>
  <c r="G48" i="56"/>
  <c r="E48" i="56"/>
  <c r="C48" i="56"/>
  <c r="S47" i="56"/>
  <c r="Q47" i="56"/>
  <c r="O47" i="56"/>
  <c r="T47" i="56" s="1"/>
  <c r="M47" i="56"/>
  <c r="K47" i="56"/>
  <c r="I47" i="56"/>
  <c r="N47" i="56" s="1"/>
  <c r="G47" i="56"/>
  <c r="E47" i="56"/>
  <c r="C47" i="56"/>
  <c r="H47" i="56" s="1"/>
  <c r="U47" i="56" s="1"/>
  <c r="T46" i="56"/>
  <c r="S46" i="56"/>
  <c r="Q46" i="56"/>
  <c r="O46" i="56"/>
  <c r="N46" i="56"/>
  <c r="M46" i="56"/>
  <c r="K46" i="56"/>
  <c r="I46" i="56"/>
  <c r="H46" i="56"/>
  <c r="U46" i="56" s="1"/>
  <c r="G46" i="56"/>
  <c r="E46" i="56"/>
  <c r="C46" i="56"/>
  <c r="S45" i="56"/>
  <c r="S49" i="56" s="1"/>
  <c r="Q45" i="56"/>
  <c r="Q49" i="56" s="1"/>
  <c r="O45" i="56"/>
  <c r="O49" i="56" s="1"/>
  <c r="M45" i="56"/>
  <c r="M49" i="56" s="1"/>
  <c r="K45" i="56"/>
  <c r="K49" i="56" s="1"/>
  <c r="I45" i="56"/>
  <c r="N45" i="56" s="1"/>
  <c r="N49" i="56" s="1"/>
  <c r="G45" i="56"/>
  <c r="G49" i="56" s="1"/>
  <c r="E45" i="56"/>
  <c r="E49" i="56" s="1"/>
  <c r="C45" i="56"/>
  <c r="C49" i="56" s="1"/>
  <c r="R44" i="56"/>
  <c r="R50" i="56" s="1"/>
  <c r="P44" i="56"/>
  <c r="L44" i="56"/>
  <c r="J44" i="56"/>
  <c r="F44" i="56"/>
  <c r="S43" i="56"/>
  <c r="Q43" i="56"/>
  <c r="O43" i="56"/>
  <c r="T43" i="56" s="1"/>
  <c r="M43" i="56"/>
  <c r="K43" i="56"/>
  <c r="I43" i="56"/>
  <c r="N43" i="56" s="1"/>
  <c r="G43" i="56"/>
  <c r="E43" i="56"/>
  <c r="D43" i="56"/>
  <c r="D44" i="56" s="1"/>
  <c r="C43" i="56"/>
  <c r="H43" i="56" s="1"/>
  <c r="U43" i="56" s="1"/>
  <c r="S42" i="56"/>
  <c r="Q42" i="56"/>
  <c r="O42" i="56"/>
  <c r="T42" i="56" s="1"/>
  <c r="M42" i="56"/>
  <c r="K42" i="56"/>
  <c r="I42" i="56"/>
  <c r="N42" i="56" s="1"/>
  <c r="G42" i="56"/>
  <c r="E42" i="56"/>
  <c r="C42" i="56"/>
  <c r="H42" i="56" s="1"/>
  <c r="T41" i="56"/>
  <c r="S41" i="56"/>
  <c r="Q41" i="56"/>
  <c r="O41" i="56"/>
  <c r="N41" i="56"/>
  <c r="M41" i="56"/>
  <c r="K41" i="56"/>
  <c r="I41" i="56"/>
  <c r="H41" i="56"/>
  <c r="U41" i="56" s="1"/>
  <c r="G41" i="56"/>
  <c r="E41" i="56"/>
  <c r="C41" i="56"/>
  <c r="S40" i="56"/>
  <c r="S44" i="56" s="1"/>
  <c r="Q40" i="56"/>
  <c r="Q44" i="56" s="1"/>
  <c r="O40" i="56"/>
  <c r="T40" i="56" s="1"/>
  <c r="T44" i="56" s="1"/>
  <c r="M40" i="56"/>
  <c r="M44" i="56" s="1"/>
  <c r="K40" i="56"/>
  <c r="K44" i="56" s="1"/>
  <c r="I40" i="56"/>
  <c r="I44" i="56" s="1"/>
  <c r="G40" i="56"/>
  <c r="G44" i="56" s="1"/>
  <c r="E40" i="56"/>
  <c r="E44" i="56" s="1"/>
  <c r="C40" i="56"/>
  <c r="H40" i="56" s="1"/>
  <c r="R38" i="56"/>
  <c r="P38" i="56"/>
  <c r="L38" i="56"/>
  <c r="J38" i="56"/>
  <c r="F38" i="56"/>
  <c r="T37" i="56"/>
  <c r="S37" i="56"/>
  <c r="Q37" i="56"/>
  <c r="O37" i="56"/>
  <c r="N37" i="56"/>
  <c r="M37" i="56"/>
  <c r="K37" i="56"/>
  <c r="I37" i="56"/>
  <c r="G37" i="56"/>
  <c r="E37" i="56"/>
  <c r="D37" i="56"/>
  <c r="C37" i="56"/>
  <c r="H37" i="56" s="1"/>
  <c r="U37" i="56" s="1"/>
  <c r="T36" i="56"/>
  <c r="S36" i="56"/>
  <c r="Q36" i="56"/>
  <c r="O36" i="56"/>
  <c r="N36" i="56"/>
  <c r="M36" i="56"/>
  <c r="K36" i="56"/>
  <c r="I36" i="56"/>
  <c r="H36" i="56"/>
  <c r="U36" i="56" s="1"/>
  <c r="G36" i="56"/>
  <c r="E36" i="56"/>
  <c r="C36" i="56"/>
  <c r="S35" i="56"/>
  <c r="Q35" i="56"/>
  <c r="O35" i="56"/>
  <c r="T35" i="56" s="1"/>
  <c r="M35" i="56"/>
  <c r="K35" i="56"/>
  <c r="I35" i="56"/>
  <c r="N35" i="56" s="1"/>
  <c r="G35" i="56"/>
  <c r="E35" i="56"/>
  <c r="D35" i="56"/>
  <c r="D38" i="56" s="1"/>
  <c r="D39" i="56" s="1"/>
  <c r="C35" i="56"/>
  <c r="H35" i="56" s="1"/>
  <c r="S34" i="56"/>
  <c r="S38" i="56" s="1"/>
  <c r="Q34" i="56"/>
  <c r="Q38" i="56" s="1"/>
  <c r="O34" i="56"/>
  <c r="T34" i="56" s="1"/>
  <c r="T38" i="56" s="1"/>
  <c r="M34" i="56"/>
  <c r="M38" i="56" s="1"/>
  <c r="K34" i="56"/>
  <c r="K38" i="56" s="1"/>
  <c r="I34" i="56"/>
  <c r="I38" i="56" s="1"/>
  <c r="G34" i="56"/>
  <c r="G38" i="56" s="1"/>
  <c r="E34" i="56"/>
  <c r="E38" i="56" s="1"/>
  <c r="C34" i="56"/>
  <c r="H34" i="56" s="1"/>
  <c r="R33" i="56"/>
  <c r="R39" i="56" s="1"/>
  <c r="P33" i="56"/>
  <c r="P39" i="56" s="1"/>
  <c r="L33" i="56"/>
  <c r="L39" i="56" s="1"/>
  <c r="J33" i="56"/>
  <c r="J39" i="56" s="1"/>
  <c r="F33" i="56"/>
  <c r="F39" i="56" s="1"/>
  <c r="D33" i="56"/>
  <c r="S32" i="56"/>
  <c r="Q32" i="56"/>
  <c r="O32" i="56"/>
  <c r="T32" i="56" s="1"/>
  <c r="M32" i="56"/>
  <c r="K32" i="56"/>
  <c r="I32" i="56"/>
  <c r="N32" i="56" s="1"/>
  <c r="G32" i="56"/>
  <c r="E32" i="56"/>
  <c r="C32" i="56"/>
  <c r="H32" i="56" s="1"/>
  <c r="T31" i="56"/>
  <c r="S31" i="56"/>
  <c r="Q31" i="56"/>
  <c r="O31" i="56"/>
  <c r="N31" i="56"/>
  <c r="M31" i="56"/>
  <c r="K31" i="56"/>
  <c r="I31" i="56"/>
  <c r="H31" i="56"/>
  <c r="U31" i="56" s="1"/>
  <c r="G31" i="56"/>
  <c r="E31" i="56"/>
  <c r="C31" i="56"/>
  <c r="S30" i="56"/>
  <c r="Q30" i="56"/>
  <c r="O30" i="56"/>
  <c r="T30" i="56" s="1"/>
  <c r="M30" i="56"/>
  <c r="K30" i="56"/>
  <c r="I30" i="56"/>
  <c r="N30" i="56" s="1"/>
  <c r="G30" i="56"/>
  <c r="E30" i="56"/>
  <c r="C30" i="56"/>
  <c r="H30" i="56" s="1"/>
  <c r="U30" i="56" s="1"/>
  <c r="T29" i="56"/>
  <c r="T33" i="56" s="1"/>
  <c r="S29" i="56"/>
  <c r="S33" i="56" s="1"/>
  <c r="Q29" i="56"/>
  <c r="Q33" i="56" s="1"/>
  <c r="O29" i="56"/>
  <c r="O33" i="56" s="1"/>
  <c r="N29" i="56"/>
  <c r="N33" i="56" s="1"/>
  <c r="M29" i="56"/>
  <c r="M33" i="56" s="1"/>
  <c r="K29" i="56"/>
  <c r="K33" i="56" s="1"/>
  <c r="I29" i="56"/>
  <c r="I33" i="56" s="1"/>
  <c r="H29" i="56"/>
  <c r="G29" i="56"/>
  <c r="G33" i="56" s="1"/>
  <c r="E29" i="56"/>
  <c r="E33" i="56" s="1"/>
  <c r="C29" i="56"/>
  <c r="C33" i="56" s="1"/>
  <c r="R28" i="56"/>
  <c r="P28" i="56"/>
  <c r="L28" i="56"/>
  <c r="J28" i="56"/>
  <c r="F28" i="56"/>
  <c r="D28" i="56"/>
  <c r="T27" i="56"/>
  <c r="S27" i="56"/>
  <c r="Q27" i="56"/>
  <c r="Q28" i="56" s="1"/>
  <c r="O27" i="56"/>
  <c r="N27" i="56"/>
  <c r="M27" i="56"/>
  <c r="K27" i="56"/>
  <c r="K28" i="56" s="1"/>
  <c r="I27" i="56"/>
  <c r="H27" i="56"/>
  <c r="U27" i="56" s="1"/>
  <c r="G27" i="56"/>
  <c r="E27" i="56"/>
  <c r="E28" i="56" s="1"/>
  <c r="C27" i="56"/>
  <c r="S26" i="56"/>
  <c r="S28" i="56" s="1"/>
  <c r="Q26" i="56"/>
  <c r="O26" i="56"/>
  <c r="T26" i="56" s="1"/>
  <c r="T28" i="56" s="1"/>
  <c r="M26" i="56"/>
  <c r="M28" i="56" s="1"/>
  <c r="K26" i="56"/>
  <c r="I26" i="56"/>
  <c r="I28" i="56" s="1"/>
  <c r="G26" i="56"/>
  <c r="G28" i="56" s="1"/>
  <c r="E26" i="56"/>
  <c r="C26" i="56"/>
  <c r="H26" i="56" s="1"/>
  <c r="R24" i="56"/>
  <c r="P24" i="56"/>
  <c r="L24" i="56"/>
  <c r="J24" i="56"/>
  <c r="F24" i="56"/>
  <c r="D24" i="56"/>
  <c r="T23" i="56"/>
  <c r="S23" i="56"/>
  <c r="Q23" i="56"/>
  <c r="O23" i="56"/>
  <c r="N23" i="56"/>
  <c r="M23" i="56"/>
  <c r="K23" i="56"/>
  <c r="I23" i="56"/>
  <c r="H23" i="56"/>
  <c r="U23" i="56" s="1"/>
  <c r="G23" i="56"/>
  <c r="E23" i="56"/>
  <c r="C23" i="56"/>
  <c r="S22" i="56"/>
  <c r="Q22" i="56"/>
  <c r="O22" i="56"/>
  <c r="T22" i="56" s="1"/>
  <c r="M22" i="56"/>
  <c r="K22" i="56"/>
  <c r="I22" i="56"/>
  <c r="N22" i="56" s="1"/>
  <c r="G22" i="56"/>
  <c r="E22" i="56"/>
  <c r="C22" i="56"/>
  <c r="H22" i="56" s="1"/>
  <c r="T21" i="56"/>
  <c r="S21" i="56"/>
  <c r="Q21" i="56"/>
  <c r="Q24" i="56" s="1"/>
  <c r="O21" i="56"/>
  <c r="N21" i="56"/>
  <c r="M21" i="56"/>
  <c r="K21" i="56"/>
  <c r="K24" i="56" s="1"/>
  <c r="I21" i="56"/>
  <c r="H21" i="56"/>
  <c r="U21" i="56" s="1"/>
  <c r="G21" i="56"/>
  <c r="E21" i="56"/>
  <c r="E24" i="56" s="1"/>
  <c r="C21" i="56"/>
  <c r="S20" i="56"/>
  <c r="S24" i="56" s="1"/>
  <c r="Q20" i="56"/>
  <c r="O20" i="56"/>
  <c r="O24" i="56" s="1"/>
  <c r="M20" i="56"/>
  <c r="M24" i="56" s="1"/>
  <c r="K20" i="56"/>
  <c r="I20" i="56"/>
  <c r="I24" i="56" s="1"/>
  <c r="G20" i="56"/>
  <c r="G24" i="56" s="1"/>
  <c r="E20" i="56"/>
  <c r="C20" i="56"/>
  <c r="C24" i="56" s="1"/>
  <c r="R19" i="56"/>
  <c r="P19" i="56"/>
  <c r="P25" i="56" s="1"/>
  <c r="L19" i="56"/>
  <c r="L25" i="56" s="1"/>
  <c r="J19" i="56"/>
  <c r="F19" i="56"/>
  <c r="D19" i="56"/>
  <c r="S18" i="56"/>
  <c r="Q18" i="56"/>
  <c r="O18" i="56"/>
  <c r="T18" i="56" s="1"/>
  <c r="M18" i="56"/>
  <c r="K18" i="56"/>
  <c r="I18" i="56"/>
  <c r="N18" i="56" s="1"/>
  <c r="G18" i="56"/>
  <c r="E18" i="56"/>
  <c r="C18" i="56"/>
  <c r="H18" i="56" s="1"/>
  <c r="T17" i="56"/>
  <c r="S17" i="56"/>
  <c r="Q17" i="56"/>
  <c r="O17" i="56"/>
  <c r="N17" i="56"/>
  <c r="M17" i="56"/>
  <c r="K17" i="56"/>
  <c r="I17" i="56"/>
  <c r="H17" i="56"/>
  <c r="U17" i="56" s="1"/>
  <c r="G17" i="56"/>
  <c r="E17" i="56"/>
  <c r="C17" i="56"/>
  <c r="S16" i="56"/>
  <c r="S19" i="56" s="1"/>
  <c r="Q16" i="56"/>
  <c r="Q19" i="56" s="1"/>
  <c r="O16" i="56"/>
  <c r="O19" i="56" s="1"/>
  <c r="M16" i="56"/>
  <c r="M19" i="56" s="1"/>
  <c r="K16" i="56"/>
  <c r="K19" i="56" s="1"/>
  <c r="I16" i="56"/>
  <c r="N16" i="56" s="1"/>
  <c r="N19" i="56" s="1"/>
  <c r="G16" i="56"/>
  <c r="G19" i="56" s="1"/>
  <c r="E16" i="56"/>
  <c r="E19" i="56" s="1"/>
  <c r="C16" i="56"/>
  <c r="C19" i="56" s="1"/>
  <c r="R15" i="56"/>
  <c r="P15" i="56"/>
  <c r="L15" i="56"/>
  <c r="J15" i="56"/>
  <c r="F15" i="56"/>
  <c r="D15" i="56"/>
  <c r="S14" i="56"/>
  <c r="Q14" i="56"/>
  <c r="O14" i="56"/>
  <c r="T14" i="56" s="1"/>
  <c r="M14" i="56"/>
  <c r="K14" i="56"/>
  <c r="I14" i="56"/>
  <c r="N14" i="56" s="1"/>
  <c r="G14" i="56"/>
  <c r="E14" i="56"/>
  <c r="C14" i="56"/>
  <c r="H14" i="56" s="1"/>
  <c r="T13" i="56"/>
  <c r="S13" i="56"/>
  <c r="Q13" i="56"/>
  <c r="O13" i="56"/>
  <c r="N13" i="56"/>
  <c r="M13" i="56"/>
  <c r="K13" i="56"/>
  <c r="I13" i="56"/>
  <c r="H13" i="56"/>
  <c r="U13" i="56" s="1"/>
  <c r="G13" i="56"/>
  <c r="E13" i="56"/>
  <c r="C13" i="56"/>
  <c r="S12" i="56"/>
  <c r="S15" i="56" s="1"/>
  <c r="Q12" i="56"/>
  <c r="Q15" i="56" s="1"/>
  <c r="O12" i="56"/>
  <c r="O15" i="56" s="1"/>
  <c r="M12" i="56"/>
  <c r="M15" i="56" s="1"/>
  <c r="K12" i="56"/>
  <c r="K15" i="56" s="1"/>
  <c r="I12" i="56"/>
  <c r="G12" i="56"/>
  <c r="G15" i="56" s="1"/>
  <c r="E12" i="56"/>
  <c r="E15" i="56" s="1"/>
  <c r="C12" i="56"/>
  <c r="R11" i="56"/>
  <c r="P11" i="56"/>
  <c r="L11" i="56"/>
  <c r="J11" i="56"/>
  <c r="F11" i="56"/>
  <c r="D11" i="56"/>
  <c r="S10" i="56"/>
  <c r="Q10" i="56"/>
  <c r="O10" i="56"/>
  <c r="T10" i="56" s="1"/>
  <c r="M10" i="56"/>
  <c r="K10" i="56"/>
  <c r="I10" i="56"/>
  <c r="N10" i="56" s="1"/>
  <c r="G10" i="56"/>
  <c r="E10" i="56"/>
  <c r="C10" i="56"/>
  <c r="H10" i="56" s="1"/>
  <c r="U10" i="56" s="1"/>
  <c r="T9" i="56"/>
  <c r="S9" i="56"/>
  <c r="Q9" i="56"/>
  <c r="O9" i="56"/>
  <c r="N9" i="56"/>
  <c r="M9" i="56"/>
  <c r="K9" i="56"/>
  <c r="I9" i="56"/>
  <c r="H9" i="56"/>
  <c r="U9" i="56" s="1"/>
  <c r="G9" i="56"/>
  <c r="E9" i="56"/>
  <c r="C9" i="56"/>
  <c r="S8" i="56"/>
  <c r="Q8" i="56"/>
  <c r="O8" i="56"/>
  <c r="T8" i="56" s="1"/>
  <c r="M8" i="56"/>
  <c r="K8" i="56"/>
  <c r="I8" i="56"/>
  <c r="N8" i="56" s="1"/>
  <c r="G8" i="56"/>
  <c r="E8" i="56"/>
  <c r="C8" i="56"/>
  <c r="H8" i="56" s="1"/>
  <c r="U8" i="56" s="1"/>
  <c r="T7" i="56"/>
  <c r="T11" i="56" s="1"/>
  <c r="S7" i="56"/>
  <c r="S11" i="56" s="1"/>
  <c r="Q7" i="56"/>
  <c r="Q11" i="56" s="1"/>
  <c r="O7" i="56"/>
  <c r="N7" i="56"/>
  <c r="N11" i="56" s="1"/>
  <c r="M7" i="56"/>
  <c r="M11" i="56" s="1"/>
  <c r="K7" i="56"/>
  <c r="K11" i="56" s="1"/>
  <c r="I7" i="56"/>
  <c r="H7" i="56"/>
  <c r="G7" i="56"/>
  <c r="G11" i="56" s="1"/>
  <c r="E7" i="56"/>
  <c r="E11" i="56" s="1"/>
  <c r="C7" i="56"/>
  <c r="C11" i="56" s="1"/>
  <c r="H66" i="56"/>
  <c r="I15" i="62" l="1"/>
  <c r="N15" i="62" s="1"/>
  <c r="M11" i="62"/>
  <c r="U8" i="62"/>
  <c r="H26" i="62"/>
  <c r="U26" i="62" s="1"/>
  <c r="I11" i="62"/>
  <c r="N11" i="62" s="1"/>
  <c r="E33" i="62"/>
  <c r="U32" i="62"/>
  <c r="C11" i="62"/>
  <c r="H11" i="62" s="1"/>
  <c r="S11" i="62"/>
  <c r="C15" i="62"/>
  <c r="H15" i="62" s="1"/>
  <c r="S15" i="62"/>
  <c r="E19" i="62"/>
  <c r="K19" i="62"/>
  <c r="Q19" i="62"/>
  <c r="M19" i="62"/>
  <c r="G24" i="62"/>
  <c r="M24" i="62"/>
  <c r="S24" i="62"/>
  <c r="M28" i="62"/>
  <c r="H34" i="62"/>
  <c r="N34" i="62"/>
  <c r="T34" i="62"/>
  <c r="H40" i="62"/>
  <c r="N40" i="62"/>
  <c r="T40" i="62"/>
  <c r="G19" i="62"/>
  <c r="U35" i="62"/>
  <c r="U41" i="62"/>
  <c r="S50" i="62"/>
  <c r="G11" i="62"/>
  <c r="O11" i="62"/>
  <c r="T11" i="62" s="1"/>
  <c r="E11" i="62"/>
  <c r="K11" i="62"/>
  <c r="Q11" i="62"/>
  <c r="G15" i="62"/>
  <c r="O15" i="62"/>
  <c r="T15" i="62" s="1"/>
  <c r="I19" i="62"/>
  <c r="N19" i="62" s="1"/>
  <c r="C24" i="62"/>
  <c r="I24" i="62"/>
  <c r="O24" i="62"/>
  <c r="I28" i="62"/>
  <c r="N28" i="62" s="1"/>
  <c r="U28" i="62" s="1"/>
  <c r="M33" i="62"/>
  <c r="M39" i="62" s="1"/>
  <c r="E38" i="62"/>
  <c r="K38" i="62"/>
  <c r="E44" i="62"/>
  <c r="K44" i="62"/>
  <c r="M49" i="62"/>
  <c r="S19" i="62"/>
  <c r="Q28" i="62"/>
  <c r="K33" i="62"/>
  <c r="Q33" i="62"/>
  <c r="K49" i="62"/>
  <c r="J55" i="63"/>
  <c r="J54" i="63"/>
  <c r="O11" i="61"/>
  <c r="E15" i="61"/>
  <c r="I19" i="61"/>
  <c r="N16" i="61"/>
  <c r="N19" i="61" s="1"/>
  <c r="D25" i="61"/>
  <c r="L25" i="61"/>
  <c r="U22" i="61"/>
  <c r="H33" i="61"/>
  <c r="T33" i="61"/>
  <c r="C39" i="61"/>
  <c r="K39" i="61"/>
  <c r="K51" i="61" s="1"/>
  <c r="S39" i="61"/>
  <c r="N44" i="61"/>
  <c r="N49" i="61"/>
  <c r="N50" i="61" s="1"/>
  <c r="C11" i="61"/>
  <c r="C19" i="61"/>
  <c r="H16" i="61"/>
  <c r="P25" i="61"/>
  <c r="P51" i="61" s="1"/>
  <c r="G25" i="61"/>
  <c r="E25" i="61"/>
  <c r="E51" i="61" s="1"/>
  <c r="K25" i="61"/>
  <c r="Q25" i="61"/>
  <c r="U32" i="61"/>
  <c r="M39" i="61"/>
  <c r="U36" i="61"/>
  <c r="H44" i="61"/>
  <c r="C50" i="61"/>
  <c r="C51" i="61" s="1"/>
  <c r="S50" i="61"/>
  <c r="S51" i="61" s="1"/>
  <c r="F51" i="61"/>
  <c r="U7" i="61"/>
  <c r="N8" i="61"/>
  <c r="U8" i="61" s="1"/>
  <c r="U13" i="61"/>
  <c r="N14" i="61"/>
  <c r="U14" i="61" s="1"/>
  <c r="M19" i="61"/>
  <c r="M25" i="61" s="1"/>
  <c r="G39" i="61"/>
  <c r="O39" i="61"/>
  <c r="U37" i="61"/>
  <c r="U43" i="61"/>
  <c r="L51" i="61"/>
  <c r="M50" i="61"/>
  <c r="U47" i="61"/>
  <c r="J51" i="61"/>
  <c r="O15" i="61"/>
  <c r="T12" i="61"/>
  <c r="T15" i="61" s="1"/>
  <c r="O19" i="61"/>
  <c r="O25" i="61" s="1"/>
  <c r="T16" i="61"/>
  <c r="T19" i="61" s="1"/>
  <c r="C25" i="61"/>
  <c r="S25" i="61"/>
  <c r="I25" i="61"/>
  <c r="I39" i="61"/>
  <c r="I51" i="61" s="1"/>
  <c r="D51" i="61"/>
  <c r="G50" i="61"/>
  <c r="G51" i="61" s="1"/>
  <c r="O50" i="61"/>
  <c r="Q51" i="61"/>
  <c r="N12" i="61"/>
  <c r="N22" i="61"/>
  <c r="N24" i="61" s="1"/>
  <c r="H26" i="61"/>
  <c r="N26" i="61"/>
  <c r="N28" i="61" s="1"/>
  <c r="T26" i="61"/>
  <c r="T28" i="61" s="1"/>
  <c r="H34" i="61"/>
  <c r="N34" i="61"/>
  <c r="N38" i="61" s="1"/>
  <c r="T34" i="61"/>
  <c r="T38" i="61" s="1"/>
  <c r="T39" i="61" s="1"/>
  <c r="N41" i="61"/>
  <c r="U41" i="61" s="1"/>
  <c r="U44" i="61" s="1"/>
  <c r="N47" i="61"/>
  <c r="H20" i="61"/>
  <c r="T20" i="61"/>
  <c r="T24" i="61" s="1"/>
  <c r="T25" i="61" s="1"/>
  <c r="U29" i="61"/>
  <c r="U33" i="61" s="1"/>
  <c r="H45" i="61"/>
  <c r="T45" i="61"/>
  <c r="T49" i="61" s="1"/>
  <c r="T50" i="61" s="1"/>
  <c r="K25" i="60"/>
  <c r="S25" i="60"/>
  <c r="Q39" i="60"/>
  <c r="D51" i="60"/>
  <c r="K50" i="60"/>
  <c r="K51" i="60" s="1"/>
  <c r="S50" i="60"/>
  <c r="I51" i="60"/>
  <c r="T25" i="60"/>
  <c r="E50" i="60"/>
  <c r="E51" i="60" s="1"/>
  <c r="M50" i="60"/>
  <c r="T50" i="60"/>
  <c r="J51" i="60"/>
  <c r="R51" i="60"/>
  <c r="G25" i="60"/>
  <c r="E25" i="60"/>
  <c r="M25" i="60"/>
  <c r="L51" i="60"/>
  <c r="H25" i="60"/>
  <c r="U28" i="60"/>
  <c r="G39" i="60"/>
  <c r="G51" i="60" s="1"/>
  <c r="Q51" i="60"/>
  <c r="N50" i="60"/>
  <c r="F51" i="60"/>
  <c r="O51" i="60"/>
  <c r="U7" i="60"/>
  <c r="U11" i="60" s="1"/>
  <c r="U40" i="60"/>
  <c r="H43" i="60"/>
  <c r="U43" i="60" s="1"/>
  <c r="U45" i="60"/>
  <c r="U49" i="60" s="1"/>
  <c r="U20" i="60"/>
  <c r="U27" i="60"/>
  <c r="N28" i="60"/>
  <c r="N39" i="60" s="1"/>
  <c r="U34" i="60"/>
  <c r="U38" i="60" s="1"/>
  <c r="U39" i="60" s="1"/>
  <c r="H37" i="60"/>
  <c r="U37" i="60" s="1"/>
  <c r="U17" i="60"/>
  <c r="U19" i="60" s="1"/>
  <c r="U29" i="60"/>
  <c r="U33" i="60" s="1"/>
  <c r="U12" i="60"/>
  <c r="U15" i="60" s="1"/>
  <c r="U21" i="60"/>
  <c r="K25" i="59"/>
  <c r="S25" i="59"/>
  <c r="H39" i="59"/>
  <c r="Q39" i="59"/>
  <c r="G50" i="59"/>
  <c r="G51" i="59" s="1"/>
  <c r="N50" i="59"/>
  <c r="N51" i="59" s="1"/>
  <c r="L51" i="59"/>
  <c r="E25" i="59"/>
  <c r="M25" i="59"/>
  <c r="T25" i="59"/>
  <c r="K39" i="59"/>
  <c r="S39" i="59"/>
  <c r="U44" i="59"/>
  <c r="Q50" i="59"/>
  <c r="F51" i="59"/>
  <c r="O51" i="59"/>
  <c r="G25" i="59"/>
  <c r="N25" i="59"/>
  <c r="E39" i="59"/>
  <c r="M39" i="59"/>
  <c r="T39" i="59"/>
  <c r="K50" i="59"/>
  <c r="S50" i="59"/>
  <c r="I51" i="59"/>
  <c r="P51" i="59"/>
  <c r="U15" i="59"/>
  <c r="Q25" i="59"/>
  <c r="G39" i="59"/>
  <c r="N39" i="59"/>
  <c r="E50" i="59"/>
  <c r="E51" i="59" s="1"/>
  <c r="M50" i="59"/>
  <c r="M51" i="59" s="1"/>
  <c r="T50" i="59"/>
  <c r="T51" i="59" s="1"/>
  <c r="C51" i="59"/>
  <c r="J51" i="59"/>
  <c r="R51" i="59"/>
  <c r="U7" i="59"/>
  <c r="U11" i="59" s="1"/>
  <c r="U16" i="59"/>
  <c r="U19" i="59" s="1"/>
  <c r="U45" i="59"/>
  <c r="U49" i="59" s="1"/>
  <c r="H15" i="59"/>
  <c r="H25" i="59" s="1"/>
  <c r="U20" i="59"/>
  <c r="U24" i="59" s="1"/>
  <c r="U25" i="59" s="1"/>
  <c r="U34" i="59"/>
  <c r="U38" i="59" s="1"/>
  <c r="D44" i="59"/>
  <c r="D50" i="59" s="1"/>
  <c r="D51" i="59" s="1"/>
  <c r="H44" i="59"/>
  <c r="H50" i="59" s="1"/>
  <c r="H51" i="59" s="1"/>
  <c r="U29" i="59"/>
  <c r="U33" i="59" s="1"/>
  <c r="U26" i="59"/>
  <c r="U28" i="59" s="1"/>
  <c r="G25" i="58"/>
  <c r="G39" i="58"/>
  <c r="N39" i="58"/>
  <c r="K50" i="58"/>
  <c r="S50" i="58"/>
  <c r="I51" i="58"/>
  <c r="Q25" i="58"/>
  <c r="H39" i="58"/>
  <c r="E51" i="58"/>
  <c r="C51" i="58"/>
  <c r="R51" i="58"/>
  <c r="U10" i="58"/>
  <c r="N19" i="58"/>
  <c r="N25" i="58" s="1"/>
  <c r="K39" i="58"/>
  <c r="S39" i="58"/>
  <c r="H44" i="58"/>
  <c r="H50" i="58" s="1"/>
  <c r="L51" i="58"/>
  <c r="E25" i="58"/>
  <c r="M25" i="58"/>
  <c r="M51" i="58" s="1"/>
  <c r="T39" i="58"/>
  <c r="T51" i="58" s="1"/>
  <c r="Q39" i="58"/>
  <c r="Q51" i="58"/>
  <c r="G50" i="58"/>
  <c r="G51" i="58" s="1"/>
  <c r="N50" i="58"/>
  <c r="F51" i="58"/>
  <c r="P51" i="58"/>
  <c r="J11" i="58"/>
  <c r="J25" i="58" s="1"/>
  <c r="J51" i="58" s="1"/>
  <c r="N11" i="58"/>
  <c r="U29" i="58"/>
  <c r="U33" i="58" s="1"/>
  <c r="U45" i="58"/>
  <c r="U49" i="58" s="1"/>
  <c r="U12" i="58"/>
  <c r="U15" i="58" s="1"/>
  <c r="N17" i="58"/>
  <c r="T17" i="58"/>
  <c r="T19" i="58" s="1"/>
  <c r="T25" i="58" s="1"/>
  <c r="U26" i="58"/>
  <c r="U8" i="58"/>
  <c r="U11" i="58" s="1"/>
  <c r="U16" i="58"/>
  <c r="U20" i="58"/>
  <c r="U24" i="58" s="1"/>
  <c r="H23" i="58"/>
  <c r="U23" i="58" s="1"/>
  <c r="U27" i="58"/>
  <c r="U34" i="58"/>
  <c r="U38" i="58" s="1"/>
  <c r="U40" i="58"/>
  <c r="U44" i="58" s="1"/>
  <c r="J51" i="62"/>
  <c r="C50" i="62"/>
  <c r="H49" i="62"/>
  <c r="H24" i="62"/>
  <c r="N24" i="62"/>
  <c r="I25" i="62"/>
  <c r="N25" i="62" s="1"/>
  <c r="T24" i="62"/>
  <c r="U21" i="62"/>
  <c r="U27" i="62"/>
  <c r="U31" i="62"/>
  <c r="E39" i="62"/>
  <c r="K39" i="62"/>
  <c r="Q39" i="62"/>
  <c r="U37" i="62"/>
  <c r="U43" i="62"/>
  <c r="L51" i="62"/>
  <c r="M50" i="62"/>
  <c r="U47" i="62"/>
  <c r="N38" i="62"/>
  <c r="O39" i="62"/>
  <c r="T39" i="62" s="1"/>
  <c r="T38" i="62"/>
  <c r="E25" i="62"/>
  <c r="K25" i="62"/>
  <c r="Q25" i="62"/>
  <c r="U23" i="62"/>
  <c r="G39" i="62"/>
  <c r="S39" i="62"/>
  <c r="D51" i="62"/>
  <c r="P51" i="62"/>
  <c r="G50" i="62"/>
  <c r="O50" i="62"/>
  <c r="T49" i="62"/>
  <c r="E50" i="62"/>
  <c r="K50" i="62"/>
  <c r="Q50" i="62"/>
  <c r="C39" i="62"/>
  <c r="H39" i="62" s="1"/>
  <c r="H38" i="62"/>
  <c r="U11" i="62"/>
  <c r="U15" i="62"/>
  <c r="G25" i="62"/>
  <c r="M25" i="62"/>
  <c r="S25" i="62"/>
  <c r="F51" i="62"/>
  <c r="R51" i="62"/>
  <c r="H7" i="62"/>
  <c r="N7" i="62"/>
  <c r="T7" i="62"/>
  <c r="H13" i="62"/>
  <c r="N13" i="62"/>
  <c r="T13" i="62"/>
  <c r="C19" i="62"/>
  <c r="H19" i="62" s="1"/>
  <c r="O19" i="62"/>
  <c r="T19" i="62" s="1"/>
  <c r="I33" i="62"/>
  <c r="N33" i="62" s="1"/>
  <c r="U33" i="62" s="1"/>
  <c r="I49" i="62"/>
  <c r="N17" i="62"/>
  <c r="U17" i="62" s="1"/>
  <c r="H29" i="62"/>
  <c r="T29" i="62"/>
  <c r="H45" i="62"/>
  <c r="T45" i="62"/>
  <c r="N19" i="57"/>
  <c r="N25" i="57" s="1"/>
  <c r="G25" i="57"/>
  <c r="J25" i="57"/>
  <c r="M39" i="57"/>
  <c r="T39" i="57"/>
  <c r="M50" i="57"/>
  <c r="F51" i="57"/>
  <c r="O51" i="57"/>
  <c r="Q25" i="57"/>
  <c r="T25" i="57"/>
  <c r="T51" i="57" s="1"/>
  <c r="H33" i="57"/>
  <c r="U29" i="57"/>
  <c r="I51" i="57"/>
  <c r="G50" i="57"/>
  <c r="G51" i="57" s="1"/>
  <c r="N50" i="57"/>
  <c r="P51" i="57"/>
  <c r="K25" i="57"/>
  <c r="S25" i="57"/>
  <c r="H39" i="57"/>
  <c r="Q39" i="57"/>
  <c r="N39" i="57"/>
  <c r="K39" i="57"/>
  <c r="U49" i="57"/>
  <c r="Q50" i="57"/>
  <c r="Q51" i="57" s="1"/>
  <c r="J51" i="57"/>
  <c r="R51" i="57"/>
  <c r="E25" i="57"/>
  <c r="M25" i="57"/>
  <c r="G39" i="57"/>
  <c r="S39" i="57"/>
  <c r="K51" i="57"/>
  <c r="S51" i="57"/>
  <c r="C51" i="57"/>
  <c r="L51" i="57"/>
  <c r="U20" i="57"/>
  <c r="U24" i="57" s="1"/>
  <c r="U27" i="57"/>
  <c r="U30" i="57"/>
  <c r="D49" i="57"/>
  <c r="D50" i="57" s="1"/>
  <c r="H49" i="57"/>
  <c r="H50" i="57" s="1"/>
  <c r="K18" i="57"/>
  <c r="K19" i="57" s="1"/>
  <c r="H19" i="57"/>
  <c r="H25" i="57" s="1"/>
  <c r="E29" i="57"/>
  <c r="E33" i="57" s="1"/>
  <c r="E39" i="57" s="1"/>
  <c r="U34" i="57"/>
  <c r="U38" i="57" s="1"/>
  <c r="E46" i="57"/>
  <c r="E49" i="57" s="1"/>
  <c r="E50" i="57" s="1"/>
  <c r="U26" i="57"/>
  <c r="U28" i="57" s="1"/>
  <c r="D33" i="57"/>
  <c r="D39" i="57" s="1"/>
  <c r="U7" i="57"/>
  <c r="U11" i="57" s="1"/>
  <c r="N18" i="57"/>
  <c r="U18" i="57" s="1"/>
  <c r="U19" i="57" s="1"/>
  <c r="U40" i="57"/>
  <c r="U44" i="57" s="1"/>
  <c r="I11" i="56"/>
  <c r="O11" i="56"/>
  <c r="U14" i="56"/>
  <c r="U18" i="56"/>
  <c r="M25" i="56"/>
  <c r="U22" i="56"/>
  <c r="G39" i="56"/>
  <c r="G51" i="56" s="1"/>
  <c r="T39" i="56"/>
  <c r="L51" i="56"/>
  <c r="D25" i="56"/>
  <c r="G25" i="56"/>
  <c r="O25" i="56"/>
  <c r="E25" i="56"/>
  <c r="K25" i="56"/>
  <c r="Q25" i="56"/>
  <c r="H33" i="56"/>
  <c r="I39" i="56"/>
  <c r="Q39" i="56"/>
  <c r="D50" i="56"/>
  <c r="D51" i="56" s="1"/>
  <c r="P51" i="56"/>
  <c r="I15" i="56"/>
  <c r="N12" i="56"/>
  <c r="N15" i="56" s="1"/>
  <c r="F25" i="56"/>
  <c r="F51" i="56" s="1"/>
  <c r="R25" i="56"/>
  <c r="H38" i="56"/>
  <c r="K39" i="56"/>
  <c r="K51" i="56" s="1"/>
  <c r="S39" i="56"/>
  <c r="H44" i="56"/>
  <c r="R51" i="56"/>
  <c r="U7" i="56"/>
  <c r="U11" i="56" s="1"/>
  <c r="H11" i="56"/>
  <c r="C15" i="56"/>
  <c r="C25" i="56" s="1"/>
  <c r="H12" i="56"/>
  <c r="J25" i="56"/>
  <c r="J51" i="56" s="1"/>
  <c r="S25" i="56"/>
  <c r="H28" i="56"/>
  <c r="U32" i="56"/>
  <c r="E39" i="56"/>
  <c r="E51" i="56" s="1"/>
  <c r="M39" i="56"/>
  <c r="U35" i="56"/>
  <c r="U42" i="56"/>
  <c r="T12" i="56"/>
  <c r="T15" i="56" s="1"/>
  <c r="I19" i="56"/>
  <c r="I25" i="56" s="1"/>
  <c r="H20" i="56"/>
  <c r="N20" i="56"/>
  <c r="N24" i="56" s="1"/>
  <c r="N25" i="56" s="1"/>
  <c r="T20" i="56"/>
  <c r="T24" i="56" s="1"/>
  <c r="U29" i="56"/>
  <c r="U33" i="56" s="1"/>
  <c r="C44" i="56"/>
  <c r="O44" i="56"/>
  <c r="C28" i="56"/>
  <c r="O28" i="56"/>
  <c r="C38" i="56"/>
  <c r="O38" i="56"/>
  <c r="O39" i="56" s="1"/>
  <c r="O51" i="56" s="1"/>
  <c r="I49" i="56"/>
  <c r="H16" i="56"/>
  <c r="T16" i="56"/>
  <c r="T19" i="56" s="1"/>
  <c r="N26" i="56"/>
  <c r="N28" i="56" s="1"/>
  <c r="N34" i="56"/>
  <c r="N38" i="56" s="1"/>
  <c r="N40" i="56"/>
  <c r="N44" i="56" s="1"/>
  <c r="N50" i="56" s="1"/>
  <c r="H45" i="56"/>
  <c r="T45" i="56"/>
  <c r="T49" i="56" s="1"/>
  <c r="T50" i="56" s="1"/>
  <c r="E51" i="62" l="1"/>
  <c r="S51" i="62"/>
  <c r="C25" i="62"/>
  <c r="H25" i="62" s="1"/>
  <c r="M51" i="62"/>
  <c r="U34" i="62"/>
  <c r="U29" i="62"/>
  <c r="U13" i="62"/>
  <c r="U40" i="62"/>
  <c r="J56" i="63"/>
  <c r="M59" i="63"/>
  <c r="M62" i="63"/>
  <c r="M58" i="63"/>
  <c r="H62" i="63"/>
  <c r="M56" i="63"/>
  <c r="M61" i="63"/>
  <c r="N11" i="61"/>
  <c r="T51" i="61"/>
  <c r="U20" i="61"/>
  <c r="U24" i="61" s="1"/>
  <c r="H24" i="61"/>
  <c r="U26" i="61"/>
  <c r="U28" i="61" s="1"/>
  <c r="H28" i="61"/>
  <c r="M51" i="61"/>
  <c r="U11" i="61"/>
  <c r="H19" i="61"/>
  <c r="U16" i="61"/>
  <c r="U19" i="61" s="1"/>
  <c r="U45" i="61"/>
  <c r="U49" i="61" s="1"/>
  <c r="U50" i="61" s="1"/>
  <c r="H49" i="61"/>
  <c r="H50" i="61" s="1"/>
  <c r="H38" i="61"/>
  <c r="H39" i="61" s="1"/>
  <c r="U34" i="61"/>
  <c r="U38" i="61" s="1"/>
  <c r="N39" i="61"/>
  <c r="N15" i="61"/>
  <c r="N25" i="61" s="1"/>
  <c r="O51" i="61"/>
  <c r="U12" i="61"/>
  <c r="U15" i="61" s="1"/>
  <c r="U44" i="60"/>
  <c r="U50" i="60" s="1"/>
  <c r="U51" i="60" s="1"/>
  <c r="N51" i="60"/>
  <c r="H44" i="60"/>
  <c r="H50" i="60" s="1"/>
  <c r="T51" i="60"/>
  <c r="U24" i="60"/>
  <c r="U25" i="60" s="1"/>
  <c r="M51" i="60"/>
  <c r="S51" i="60"/>
  <c r="H38" i="60"/>
  <c r="H39" i="60" s="1"/>
  <c r="U50" i="59"/>
  <c r="U51" i="59" s="1"/>
  <c r="S51" i="59"/>
  <c r="J55" i="59" s="1"/>
  <c r="U39" i="59"/>
  <c r="K51" i="59"/>
  <c r="Q51" i="59"/>
  <c r="U28" i="58"/>
  <c r="U50" i="58"/>
  <c r="S51" i="58"/>
  <c r="K51" i="58"/>
  <c r="U39" i="58"/>
  <c r="U19" i="58"/>
  <c r="U25" i="58" s="1"/>
  <c r="U17" i="58"/>
  <c r="N51" i="58"/>
  <c r="H24" i="58"/>
  <c r="H25" i="58" s="1"/>
  <c r="H51" i="58" s="1"/>
  <c r="J56" i="58" s="1"/>
  <c r="U45" i="62"/>
  <c r="N49" i="62"/>
  <c r="U49" i="62" s="1"/>
  <c r="I50" i="62"/>
  <c r="K51" i="62"/>
  <c r="G51" i="62"/>
  <c r="I39" i="62"/>
  <c r="N39" i="62" s="1"/>
  <c r="U39" i="62" s="1"/>
  <c r="U19" i="62"/>
  <c r="T50" i="62"/>
  <c r="U7" i="62"/>
  <c r="U38" i="62"/>
  <c r="U24" i="62"/>
  <c r="H50" i="62"/>
  <c r="C51" i="62"/>
  <c r="H51" i="62" s="1"/>
  <c r="O25" i="62"/>
  <c r="T25" i="62" s="1"/>
  <c r="U25" i="62" s="1"/>
  <c r="Q51" i="62"/>
  <c r="J54" i="62"/>
  <c r="J55" i="62"/>
  <c r="E51" i="57"/>
  <c r="U25" i="57"/>
  <c r="M51" i="57"/>
  <c r="U50" i="57"/>
  <c r="U33" i="57"/>
  <c r="U39" i="57" s="1"/>
  <c r="H51" i="57"/>
  <c r="D51" i="57"/>
  <c r="N51" i="57"/>
  <c r="J54" i="61"/>
  <c r="J55" i="61"/>
  <c r="J54" i="60"/>
  <c r="J55" i="60"/>
  <c r="J54" i="59"/>
  <c r="J55" i="58"/>
  <c r="J54" i="58"/>
  <c r="J54" i="57"/>
  <c r="J55" i="57"/>
  <c r="N51" i="56"/>
  <c r="S51" i="56"/>
  <c r="I51" i="56"/>
  <c r="U45" i="56"/>
  <c r="U49" i="56" s="1"/>
  <c r="U50" i="56" s="1"/>
  <c r="H49" i="56"/>
  <c r="H50" i="56" s="1"/>
  <c r="C39" i="56"/>
  <c r="C51" i="56" s="1"/>
  <c r="H24" i="56"/>
  <c r="U20" i="56"/>
  <c r="U24" i="56" s="1"/>
  <c r="H19" i="56"/>
  <c r="U16" i="56"/>
  <c r="U19" i="56" s="1"/>
  <c r="H39" i="56"/>
  <c r="J54" i="56"/>
  <c r="N39" i="56"/>
  <c r="T25" i="56"/>
  <c r="T51" i="56" s="1"/>
  <c r="M51" i="56"/>
  <c r="U26" i="56"/>
  <c r="U28" i="56" s="1"/>
  <c r="H15" i="56"/>
  <c r="U12" i="56"/>
  <c r="U15" i="56" s="1"/>
  <c r="U40" i="56"/>
  <c r="U44" i="56" s="1"/>
  <c r="U34" i="56"/>
  <c r="U38" i="56" s="1"/>
  <c r="U39" i="56" s="1"/>
  <c r="Q51" i="56"/>
  <c r="J55" i="56"/>
  <c r="O20" i="43"/>
  <c r="K20" i="43"/>
  <c r="J20" i="43"/>
  <c r="N20" i="43"/>
  <c r="G20" i="43"/>
  <c r="F20" i="43"/>
  <c r="N51" i="61" l="1"/>
  <c r="H51" i="61"/>
  <c r="U25" i="61"/>
  <c r="H25" i="61"/>
  <c r="U39" i="61"/>
  <c r="U51" i="61" s="1"/>
  <c r="H51" i="60"/>
  <c r="J56" i="60" s="1"/>
  <c r="U51" i="58"/>
  <c r="O51" i="62"/>
  <c r="T51" i="62" s="1"/>
  <c r="I51" i="62"/>
  <c r="N51" i="62" s="1"/>
  <c r="N50" i="62"/>
  <c r="U50" i="62" s="1"/>
  <c r="U51" i="57"/>
  <c r="J56" i="59"/>
  <c r="J56" i="57"/>
  <c r="M62" i="56"/>
  <c r="H62" i="56"/>
  <c r="M59" i="56"/>
  <c r="M58" i="56"/>
  <c r="M61" i="56"/>
  <c r="M56" i="56"/>
  <c r="U25" i="56"/>
  <c r="U51" i="56" s="1"/>
  <c r="H25" i="56"/>
  <c r="H51" i="56" s="1"/>
  <c r="J56" i="56" s="1"/>
  <c r="J19" i="43"/>
  <c r="K18" i="43"/>
  <c r="J18" i="43"/>
  <c r="G18" i="43"/>
  <c r="F18" i="43"/>
  <c r="O19" i="43"/>
  <c r="N19" i="43"/>
  <c r="G19" i="43"/>
  <c r="F19" i="43"/>
  <c r="U51" i="62" l="1"/>
  <c r="J56" i="62"/>
  <c r="J56" i="61"/>
  <c r="N18" i="43"/>
  <c r="F17" i="43" l="1"/>
  <c r="O27" i="43"/>
  <c r="K27" i="43"/>
  <c r="G27" i="43"/>
  <c r="O26" i="43"/>
  <c r="K26" i="43"/>
  <c r="G26" i="43"/>
  <c r="O25" i="43"/>
  <c r="K25" i="43"/>
  <c r="G25" i="43"/>
  <c r="O24" i="43"/>
  <c r="K24" i="43"/>
  <c r="G24" i="43"/>
  <c r="O23" i="43"/>
  <c r="K23" i="43"/>
  <c r="G23" i="43"/>
  <c r="O22" i="43"/>
  <c r="K22" i="43"/>
  <c r="G22" i="43"/>
  <c r="O21" i="43"/>
  <c r="K21" i="43"/>
  <c r="G21" i="43"/>
  <c r="K19" i="43"/>
  <c r="O18" i="43"/>
  <c r="O17" i="43"/>
  <c r="O16" i="43"/>
  <c r="K16" i="43"/>
  <c r="G16" i="43"/>
  <c r="J17" i="43" l="1"/>
  <c r="G17" i="43"/>
  <c r="G28" i="43" s="1"/>
  <c r="K17" i="43"/>
  <c r="K28" i="43" s="1"/>
  <c r="O28" i="43"/>
  <c r="G32" i="43" l="1"/>
  <c r="L15" i="43" l="1"/>
  <c r="F16" i="43"/>
  <c r="H15" i="43"/>
  <c r="P15" i="43" l="1"/>
  <c r="J16" i="43"/>
  <c r="H16" i="43"/>
  <c r="N17" i="43"/>
  <c r="N16" i="43" l="1"/>
  <c r="F28" i="43"/>
  <c r="H32" i="43" l="1"/>
  <c r="H17" i="43"/>
  <c r="H18" i="43" s="1"/>
  <c r="H19" i="43" s="1"/>
  <c r="H20" i="43" s="1"/>
  <c r="H21" i="43" s="1"/>
  <c r="H22" i="43" s="1"/>
  <c r="H23" i="43" s="1"/>
  <c r="H24" i="43" s="1"/>
  <c r="H25" i="43" s="1"/>
  <c r="H26" i="43" s="1"/>
  <c r="H27" i="43" s="1"/>
  <c r="J28" i="43"/>
  <c r="L16" i="43"/>
  <c r="L17" i="43" s="1"/>
  <c r="L18" i="43" s="1"/>
  <c r="L19" i="43" s="1"/>
  <c r="L20" i="43" s="1"/>
  <c r="L21" i="43" s="1"/>
  <c r="L22" i="43" s="1"/>
  <c r="L23" i="43" s="1"/>
  <c r="L24" i="43" s="1"/>
  <c r="L25" i="43" s="1"/>
  <c r="L26" i="43" s="1"/>
  <c r="L27" i="43" s="1"/>
  <c r="N28" i="43"/>
  <c r="P32" i="43" s="1"/>
  <c r="P16" i="43"/>
  <c r="P17" i="43" s="1"/>
  <c r="P18" i="43" s="1"/>
  <c r="P19" i="43" s="1"/>
  <c r="P20" i="43" s="1"/>
  <c r="P21" i="43" s="1"/>
  <c r="P22" i="43" s="1"/>
  <c r="P23" i="43" s="1"/>
  <c r="P24" i="43" s="1"/>
  <c r="P25" i="43" s="1"/>
  <c r="P26" i="43" s="1"/>
  <c r="P27" i="43" s="1"/>
  <c r="F32" i="43" l="1"/>
  <c r="F37" i="43" s="1"/>
  <c r="L32" i="43"/>
  <c r="H37" i="43" s="1"/>
  <c r="I72" i="14" l="1"/>
  <c r="I71" i="14"/>
  <c r="H68" i="14"/>
  <c r="N60" i="14"/>
  <c r="G60" i="14"/>
  <c r="N58" i="14"/>
  <c r="J58" i="14"/>
  <c r="R53" i="14"/>
  <c r="K53" i="14"/>
  <c r="H53" i="14"/>
  <c r="E53" i="14"/>
  <c r="U52" i="14"/>
  <c r="T52" i="14"/>
  <c r="R52" i="14"/>
  <c r="N52" i="14"/>
  <c r="M52" i="14"/>
  <c r="K52" i="14"/>
  <c r="H52" i="14"/>
  <c r="G52" i="14"/>
  <c r="E52" i="14"/>
  <c r="U51" i="14"/>
  <c r="T51" i="14"/>
  <c r="R51" i="14"/>
  <c r="N51" i="14"/>
  <c r="M51" i="14"/>
  <c r="K51" i="14"/>
  <c r="H51" i="14"/>
  <c r="G51" i="14"/>
  <c r="E51" i="14"/>
  <c r="S48" i="14"/>
  <c r="T48" i="14" s="1"/>
  <c r="Q48" i="14"/>
  <c r="U48" i="14" s="1"/>
  <c r="P48" i="14"/>
  <c r="L48" i="14"/>
  <c r="M48" i="14" s="1"/>
  <c r="K48" i="14"/>
  <c r="J48" i="14"/>
  <c r="I48" i="14"/>
  <c r="F48" i="14"/>
  <c r="G48" i="14" s="1"/>
  <c r="E48" i="14"/>
  <c r="D48" i="14"/>
  <c r="U47" i="14"/>
  <c r="T47" i="14"/>
  <c r="R47" i="14"/>
  <c r="O47" i="14"/>
  <c r="M47" i="14"/>
  <c r="N47" i="14" s="1"/>
  <c r="K47" i="14"/>
  <c r="H47" i="14"/>
  <c r="V47" i="14" s="1"/>
  <c r="G47" i="14"/>
  <c r="E47" i="14"/>
  <c r="U46" i="14"/>
  <c r="T46" i="14"/>
  <c r="R46" i="14"/>
  <c r="O46" i="14"/>
  <c r="N46" i="14"/>
  <c r="M46" i="14"/>
  <c r="K46" i="14"/>
  <c r="H46" i="14"/>
  <c r="G46" i="14"/>
  <c r="E46" i="14"/>
  <c r="U45" i="14"/>
  <c r="T45" i="14"/>
  <c r="R45" i="14"/>
  <c r="O45" i="14"/>
  <c r="O48" i="14" s="1"/>
  <c r="M45" i="14"/>
  <c r="N45" i="14" s="1"/>
  <c r="K45" i="14"/>
  <c r="H45" i="14"/>
  <c r="G45" i="14"/>
  <c r="E45" i="14"/>
  <c r="U44" i="14"/>
  <c r="T44" i="14"/>
  <c r="R44" i="14"/>
  <c r="O44" i="14"/>
  <c r="M44" i="14"/>
  <c r="N44" i="14" s="1"/>
  <c r="K44" i="14"/>
  <c r="H44" i="14"/>
  <c r="G44" i="14"/>
  <c r="E44" i="14"/>
  <c r="S43" i="14"/>
  <c r="T43" i="14" s="1"/>
  <c r="Q43" i="14"/>
  <c r="Q49" i="14" s="1"/>
  <c r="P43" i="14"/>
  <c r="P49" i="14" s="1"/>
  <c r="L43" i="14"/>
  <c r="L49" i="14" s="1"/>
  <c r="J43" i="14"/>
  <c r="J49" i="14" s="1"/>
  <c r="I43" i="14"/>
  <c r="I49" i="14" s="1"/>
  <c r="G43" i="14"/>
  <c r="F43" i="14"/>
  <c r="D43" i="14"/>
  <c r="H43" i="14" s="1"/>
  <c r="U42" i="14"/>
  <c r="T42" i="14"/>
  <c r="R42" i="14"/>
  <c r="M42" i="14"/>
  <c r="N42" i="14" s="1"/>
  <c r="K42" i="14"/>
  <c r="H42" i="14"/>
  <c r="G42" i="14"/>
  <c r="E42" i="14"/>
  <c r="U41" i="14"/>
  <c r="T41" i="14"/>
  <c r="R41" i="14"/>
  <c r="O41" i="14"/>
  <c r="M41" i="14"/>
  <c r="N41" i="14" s="1"/>
  <c r="K41" i="14"/>
  <c r="H41" i="14"/>
  <c r="G41" i="14"/>
  <c r="E41" i="14"/>
  <c r="U40" i="14"/>
  <c r="T40" i="14"/>
  <c r="R40" i="14"/>
  <c r="O40" i="14"/>
  <c r="M40" i="14"/>
  <c r="N40" i="14" s="1"/>
  <c r="K40" i="14"/>
  <c r="H40" i="14"/>
  <c r="V40" i="14" s="1"/>
  <c r="G40" i="14"/>
  <c r="E40" i="14"/>
  <c r="U39" i="14"/>
  <c r="T39" i="14"/>
  <c r="R39" i="14"/>
  <c r="O39" i="14"/>
  <c r="M39" i="14"/>
  <c r="N39" i="14" s="1"/>
  <c r="K39" i="14"/>
  <c r="H39" i="14"/>
  <c r="G39" i="14"/>
  <c r="E39" i="14"/>
  <c r="T37" i="14"/>
  <c r="S37" i="14"/>
  <c r="Q37" i="14"/>
  <c r="U37" i="14" s="1"/>
  <c r="P37" i="14"/>
  <c r="L37" i="14"/>
  <c r="M37" i="14" s="1"/>
  <c r="J37" i="14"/>
  <c r="K37" i="14" s="1"/>
  <c r="I37" i="14"/>
  <c r="G37" i="14"/>
  <c r="F37" i="14"/>
  <c r="D37" i="14"/>
  <c r="E37" i="14" s="1"/>
  <c r="U36" i="14"/>
  <c r="T36" i="14"/>
  <c r="R36" i="14"/>
  <c r="O36" i="14"/>
  <c r="M36" i="14"/>
  <c r="N36" i="14" s="1"/>
  <c r="K36" i="14"/>
  <c r="H36" i="14"/>
  <c r="G36" i="14"/>
  <c r="E36" i="14"/>
  <c r="U35" i="14"/>
  <c r="T35" i="14"/>
  <c r="R35" i="14"/>
  <c r="O35" i="14"/>
  <c r="N35" i="14"/>
  <c r="M35" i="14"/>
  <c r="K35" i="14"/>
  <c r="H35" i="14"/>
  <c r="V35" i="14" s="1"/>
  <c r="G35" i="14"/>
  <c r="E35" i="14"/>
  <c r="U34" i="14"/>
  <c r="T34" i="14"/>
  <c r="R34" i="14"/>
  <c r="O34" i="14"/>
  <c r="M34" i="14"/>
  <c r="N34" i="14" s="1"/>
  <c r="K34" i="14"/>
  <c r="H34" i="14"/>
  <c r="G34" i="14"/>
  <c r="E34" i="14"/>
  <c r="U33" i="14"/>
  <c r="T33" i="14"/>
  <c r="R33" i="14"/>
  <c r="O33" i="14"/>
  <c r="M33" i="14"/>
  <c r="N33" i="14" s="1"/>
  <c r="K33" i="14"/>
  <c r="H33" i="14"/>
  <c r="G33" i="14"/>
  <c r="E33" i="14"/>
  <c r="S32" i="14"/>
  <c r="T32" i="14" s="1"/>
  <c r="Q32" i="14"/>
  <c r="U32" i="14" s="1"/>
  <c r="P32" i="14"/>
  <c r="L32" i="14"/>
  <c r="M32" i="14" s="1"/>
  <c r="J32" i="14"/>
  <c r="I32" i="14"/>
  <c r="F32" i="14"/>
  <c r="G32" i="14" s="1"/>
  <c r="D32" i="14"/>
  <c r="H32" i="14" s="1"/>
  <c r="U31" i="14"/>
  <c r="T31" i="14"/>
  <c r="R31" i="14"/>
  <c r="O31" i="14"/>
  <c r="O32" i="14" s="1"/>
  <c r="N31" i="14"/>
  <c r="M31" i="14"/>
  <c r="K31" i="14"/>
  <c r="H31" i="14"/>
  <c r="V31" i="14" s="1"/>
  <c r="G31" i="14"/>
  <c r="E31" i="14"/>
  <c r="U30" i="14"/>
  <c r="T30" i="14"/>
  <c r="R30" i="14"/>
  <c r="M30" i="14"/>
  <c r="N30" i="14" s="1"/>
  <c r="K30" i="14"/>
  <c r="H30" i="14"/>
  <c r="G30" i="14"/>
  <c r="E30" i="14"/>
  <c r="U29" i="14"/>
  <c r="T29" i="14"/>
  <c r="R29" i="14"/>
  <c r="M29" i="14"/>
  <c r="N29" i="14" s="1"/>
  <c r="K29" i="14"/>
  <c r="H29" i="14"/>
  <c r="G29" i="14"/>
  <c r="E29" i="14"/>
  <c r="U28" i="14"/>
  <c r="T28" i="14"/>
  <c r="R28" i="14"/>
  <c r="O28" i="14"/>
  <c r="N28" i="14"/>
  <c r="M28" i="14"/>
  <c r="K28" i="14"/>
  <c r="H28" i="14"/>
  <c r="G28" i="14"/>
  <c r="E28" i="14"/>
  <c r="S27" i="14"/>
  <c r="T27" i="14" s="1"/>
  <c r="Q27" i="14"/>
  <c r="U27" i="14" s="1"/>
  <c r="P27" i="14"/>
  <c r="L27" i="14"/>
  <c r="M27" i="14" s="1"/>
  <c r="J27" i="14"/>
  <c r="N27" i="14" s="1"/>
  <c r="I27" i="14"/>
  <c r="F27" i="14"/>
  <c r="G27" i="14" s="1"/>
  <c r="D27" i="14"/>
  <c r="E27" i="14" s="1"/>
  <c r="U26" i="14"/>
  <c r="T26" i="14"/>
  <c r="R26" i="14"/>
  <c r="O26" i="14"/>
  <c r="O27" i="14" s="1"/>
  <c r="M26" i="14"/>
  <c r="N26" i="14" s="1"/>
  <c r="K26" i="14"/>
  <c r="H26" i="14"/>
  <c r="G26" i="14"/>
  <c r="E26" i="14"/>
  <c r="U25" i="14"/>
  <c r="T25" i="14"/>
  <c r="R25" i="14"/>
  <c r="O25" i="14"/>
  <c r="M25" i="14"/>
  <c r="N25" i="14" s="1"/>
  <c r="K25" i="14"/>
  <c r="H25" i="14"/>
  <c r="G25" i="14"/>
  <c r="E25" i="14"/>
  <c r="S23" i="14"/>
  <c r="T23" i="14" s="1"/>
  <c r="Q23" i="14"/>
  <c r="U23" i="14" s="1"/>
  <c r="P23" i="14"/>
  <c r="L23" i="14"/>
  <c r="M23" i="14" s="1"/>
  <c r="J23" i="14"/>
  <c r="N23" i="14" s="1"/>
  <c r="I23" i="14"/>
  <c r="F23" i="14"/>
  <c r="G23" i="14" s="1"/>
  <c r="D23" i="14"/>
  <c r="E23" i="14" s="1"/>
  <c r="U22" i="14"/>
  <c r="T22" i="14"/>
  <c r="R22" i="14"/>
  <c r="O22" i="14"/>
  <c r="M22" i="14"/>
  <c r="N22" i="14" s="1"/>
  <c r="K22" i="14"/>
  <c r="H22" i="14"/>
  <c r="G22" i="14"/>
  <c r="E22" i="14"/>
  <c r="U21" i="14"/>
  <c r="T21" i="14"/>
  <c r="R21" i="14"/>
  <c r="O21" i="14"/>
  <c r="M21" i="14"/>
  <c r="N21" i="14" s="1"/>
  <c r="K21" i="14"/>
  <c r="H21" i="14"/>
  <c r="G21" i="14"/>
  <c r="E21" i="14"/>
  <c r="U20" i="14"/>
  <c r="T20" i="14"/>
  <c r="R20" i="14"/>
  <c r="O20" i="14"/>
  <c r="N20" i="14"/>
  <c r="M20" i="14"/>
  <c r="K20" i="14"/>
  <c r="H20" i="14"/>
  <c r="G20" i="14"/>
  <c r="E20" i="14"/>
  <c r="S19" i="14"/>
  <c r="T19" i="14" s="1"/>
  <c r="Q19" i="14"/>
  <c r="U19" i="14" s="1"/>
  <c r="P19" i="14"/>
  <c r="L19" i="14"/>
  <c r="M19" i="14" s="1"/>
  <c r="J19" i="14"/>
  <c r="N19" i="14" s="1"/>
  <c r="I19" i="14"/>
  <c r="F19" i="14"/>
  <c r="F24" i="14" s="1"/>
  <c r="G24" i="14" s="1"/>
  <c r="D19" i="14"/>
  <c r="E19" i="14" s="1"/>
  <c r="U18" i="14"/>
  <c r="T18" i="14"/>
  <c r="R18" i="14"/>
  <c r="O18" i="14"/>
  <c r="M18" i="14"/>
  <c r="N18" i="14" s="1"/>
  <c r="K18" i="14"/>
  <c r="H18" i="14"/>
  <c r="G18" i="14"/>
  <c r="E18" i="14"/>
  <c r="U17" i="14"/>
  <c r="T17" i="14"/>
  <c r="R17" i="14"/>
  <c r="O17" i="14"/>
  <c r="M17" i="14"/>
  <c r="N17" i="14" s="1"/>
  <c r="K17" i="14"/>
  <c r="H17" i="14"/>
  <c r="G17" i="14"/>
  <c r="E17" i="14"/>
  <c r="U16" i="14"/>
  <c r="T16" i="14"/>
  <c r="R16" i="14"/>
  <c r="O16" i="14"/>
  <c r="N16" i="14"/>
  <c r="M16" i="14"/>
  <c r="K16" i="14"/>
  <c r="H16" i="14"/>
  <c r="G16" i="14"/>
  <c r="E16" i="14"/>
  <c r="S15" i="14"/>
  <c r="T15" i="14" s="1"/>
  <c r="Q15" i="14"/>
  <c r="U15" i="14" s="1"/>
  <c r="P15" i="14"/>
  <c r="L15" i="14"/>
  <c r="M15" i="14" s="1"/>
  <c r="J15" i="14"/>
  <c r="N15" i="14" s="1"/>
  <c r="I15" i="14"/>
  <c r="F15" i="14"/>
  <c r="G15" i="14" s="1"/>
  <c r="D15" i="14"/>
  <c r="E15" i="14" s="1"/>
  <c r="U14" i="14"/>
  <c r="T14" i="14"/>
  <c r="R14" i="14"/>
  <c r="O14" i="14"/>
  <c r="O15" i="14" s="1"/>
  <c r="M14" i="14"/>
  <c r="N14" i="14" s="1"/>
  <c r="K14" i="14"/>
  <c r="H14" i="14"/>
  <c r="G14" i="14"/>
  <c r="E14" i="14"/>
  <c r="U13" i="14"/>
  <c r="T13" i="14"/>
  <c r="R13" i="14"/>
  <c r="O13" i="14"/>
  <c r="M13" i="14"/>
  <c r="N13" i="14" s="1"/>
  <c r="K13" i="14"/>
  <c r="H13" i="14"/>
  <c r="G13" i="14"/>
  <c r="E13" i="14"/>
  <c r="U12" i="14"/>
  <c r="T12" i="14"/>
  <c r="R12" i="14"/>
  <c r="O12" i="14"/>
  <c r="N12" i="14"/>
  <c r="M12" i="14"/>
  <c r="K12" i="14"/>
  <c r="H12" i="14"/>
  <c r="G12" i="14"/>
  <c r="E12" i="14"/>
  <c r="S11" i="14"/>
  <c r="T11" i="14" s="1"/>
  <c r="Q11" i="14"/>
  <c r="P11" i="14"/>
  <c r="L11" i="14"/>
  <c r="M11" i="14" s="1"/>
  <c r="J11" i="14"/>
  <c r="K11" i="14" s="1"/>
  <c r="I11" i="14"/>
  <c r="G11" i="14"/>
  <c r="F11" i="14"/>
  <c r="D11" i="14"/>
  <c r="E11" i="14" s="1"/>
  <c r="U10" i="14"/>
  <c r="T10" i="14"/>
  <c r="R10" i="14"/>
  <c r="O10" i="14"/>
  <c r="M10" i="14"/>
  <c r="N10" i="14" s="1"/>
  <c r="K10" i="14"/>
  <c r="H10" i="14"/>
  <c r="G10" i="14"/>
  <c r="E10" i="14"/>
  <c r="U9" i="14"/>
  <c r="T9" i="14"/>
  <c r="R9" i="14"/>
  <c r="O9" i="14"/>
  <c r="N9" i="14"/>
  <c r="M9" i="14"/>
  <c r="K9" i="14"/>
  <c r="H9" i="14"/>
  <c r="V9" i="14" s="1"/>
  <c r="G9" i="14"/>
  <c r="E9" i="14"/>
  <c r="U8" i="14"/>
  <c r="T8" i="14"/>
  <c r="R8" i="14"/>
  <c r="M8" i="14"/>
  <c r="N8" i="14" s="1"/>
  <c r="K8" i="14"/>
  <c r="H8" i="14"/>
  <c r="G8" i="14"/>
  <c r="E8" i="14"/>
  <c r="U7" i="14"/>
  <c r="T7" i="14"/>
  <c r="R7" i="14"/>
  <c r="O7" i="14"/>
  <c r="M7" i="14"/>
  <c r="N7" i="14" s="1"/>
  <c r="V7" i="14" s="1"/>
  <c r="V11" i="14" s="1"/>
  <c r="K7" i="14"/>
  <c r="H7" i="14"/>
  <c r="G7" i="14"/>
  <c r="E7" i="14"/>
  <c r="F50" i="19"/>
  <c r="H50" i="19" s="1"/>
  <c r="F49" i="19"/>
  <c r="H49" i="19" s="1"/>
  <c r="F48" i="19"/>
  <c r="H48" i="19" s="1"/>
  <c r="F47" i="19"/>
  <c r="H47" i="19" s="1"/>
  <c r="F46" i="19"/>
  <c r="H46" i="19" s="1"/>
  <c r="C46" i="19"/>
  <c r="C47" i="19" s="1"/>
  <c r="C48" i="19" s="1"/>
  <c r="H45" i="19"/>
  <c r="F45" i="19"/>
  <c r="F44" i="19"/>
  <c r="H44" i="19" s="1"/>
  <c r="F43" i="19"/>
  <c r="H43" i="19" s="1"/>
  <c r="F42" i="19"/>
  <c r="H42" i="19" s="1"/>
  <c r="F41" i="19"/>
  <c r="H41" i="19" s="1"/>
  <c r="F40" i="19"/>
  <c r="H40" i="19" s="1"/>
  <c r="H39" i="19"/>
  <c r="F39" i="19"/>
  <c r="F38" i="19"/>
  <c r="H38" i="19" s="1"/>
  <c r="H37" i="19"/>
  <c r="F37" i="19"/>
  <c r="F36" i="19"/>
  <c r="H36" i="19" s="1"/>
  <c r="F35" i="19"/>
  <c r="H35" i="19" s="1"/>
  <c r="F34" i="19"/>
  <c r="H34" i="19" s="1"/>
  <c r="F33" i="19"/>
  <c r="H33" i="19" s="1"/>
  <c r="F32" i="19"/>
  <c r="H32" i="19" s="1"/>
  <c r="H31" i="19"/>
  <c r="F31" i="19"/>
  <c r="F30" i="19"/>
  <c r="H30" i="19" s="1"/>
  <c r="H29" i="19"/>
  <c r="F29" i="19"/>
  <c r="F28" i="19"/>
  <c r="H28" i="19" s="1"/>
  <c r="F27" i="19"/>
  <c r="H27" i="19" s="1"/>
  <c r="F26" i="19"/>
  <c r="H26" i="19" s="1"/>
  <c r="F25" i="19"/>
  <c r="H25" i="19" s="1"/>
  <c r="F24" i="19"/>
  <c r="H24" i="19" s="1"/>
  <c r="H23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I73" i="18"/>
  <c r="I72" i="18"/>
  <c r="H69" i="18"/>
  <c r="N61" i="18"/>
  <c r="G61" i="18"/>
  <c r="N58" i="18"/>
  <c r="J58" i="18"/>
  <c r="M57" i="18"/>
  <c r="N55" i="18"/>
  <c r="Q52" i="18"/>
  <c r="K52" i="18"/>
  <c r="O51" i="18"/>
  <c r="I51" i="18"/>
  <c r="C51" i="18"/>
  <c r="E49" i="18"/>
  <c r="S48" i="18"/>
  <c r="R48" i="18"/>
  <c r="Q48" i="18"/>
  <c r="P48" i="18"/>
  <c r="P49" i="18" s="1"/>
  <c r="O48" i="18"/>
  <c r="M48" i="18"/>
  <c r="L48" i="18"/>
  <c r="L49" i="18" s="1"/>
  <c r="K48" i="18"/>
  <c r="J48" i="18"/>
  <c r="I48" i="18"/>
  <c r="G48" i="18"/>
  <c r="G49" i="18" s="1"/>
  <c r="F48" i="18"/>
  <c r="E48" i="18"/>
  <c r="D48" i="18"/>
  <c r="C48" i="18"/>
  <c r="T47" i="18"/>
  <c r="N47" i="18"/>
  <c r="H47" i="18"/>
  <c r="T46" i="18"/>
  <c r="T48" i="18" s="1"/>
  <c r="N46" i="18"/>
  <c r="H46" i="18"/>
  <c r="T45" i="18"/>
  <c r="N45" i="18"/>
  <c r="H45" i="18"/>
  <c r="T44" i="18"/>
  <c r="N44" i="18"/>
  <c r="H44" i="18"/>
  <c r="H48" i="18" s="1"/>
  <c r="S43" i="18"/>
  <c r="R43" i="18"/>
  <c r="Q43" i="18"/>
  <c r="P43" i="18"/>
  <c r="M43" i="18"/>
  <c r="M49" i="18" s="1"/>
  <c r="L43" i="18"/>
  <c r="K43" i="18"/>
  <c r="J43" i="18"/>
  <c r="G43" i="18"/>
  <c r="F43" i="18"/>
  <c r="E43" i="18"/>
  <c r="C43" i="18"/>
  <c r="H43" i="18" s="1"/>
  <c r="O42" i="18"/>
  <c r="T42" i="18" s="1"/>
  <c r="I42" i="18"/>
  <c r="N42" i="18" s="1"/>
  <c r="H42" i="18"/>
  <c r="D42" i="18"/>
  <c r="D43" i="18" s="1"/>
  <c r="O41" i="18"/>
  <c r="T41" i="18" s="1"/>
  <c r="I41" i="18"/>
  <c r="N41" i="18" s="1"/>
  <c r="H41" i="18"/>
  <c r="O40" i="18"/>
  <c r="T40" i="18" s="1"/>
  <c r="I40" i="18"/>
  <c r="N40" i="18" s="1"/>
  <c r="H40" i="18"/>
  <c r="O39" i="18"/>
  <c r="T39" i="18" s="1"/>
  <c r="I39" i="18"/>
  <c r="N39" i="18" s="1"/>
  <c r="H39" i="18"/>
  <c r="S37" i="18"/>
  <c r="S38" i="18" s="1"/>
  <c r="R37" i="18"/>
  <c r="Q37" i="18"/>
  <c r="P37" i="18"/>
  <c r="M37" i="18"/>
  <c r="L37" i="18"/>
  <c r="K37" i="18"/>
  <c r="J37" i="18"/>
  <c r="I37" i="18"/>
  <c r="G37" i="18"/>
  <c r="G38" i="18" s="1"/>
  <c r="F37" i="18"/>
  <c r="E37" i="18"/>
  <c r="D37" i="18"/>
  <c r="C37" i="18"/>
  <c r="O36" i="18"/>
  <c r="T36" i="18" s="1"/>
  <c r="N36" i="18"/>
  <c r="H36" i="18"/>
  <c r="O35" i="18"/>
  <c r="T35" i="18" s="1"/>
  <c r="N35" i="18"/>
  <c r="H35" i="18"/>
  <c r="O34" i="18"/>
  <c r="N34" i="18"/>
  <c r="H34" i="18"/>
  <c r="O33" i="18"/>
  <c r="T33" i="18" s="1"/>
  <c r="N33" i="18"/>
  <c r="H33" i="18"/>
  <c r="S32" i="18"/>
  <c r="R32" i="18"/>
  <c r="Q32" i="18"/>
  <c r="P32" i="18"/>
  <c r="O32" i="18"/>
  <c r="M32" i="18"/>
  <c r="L32" i="18"/>
  <c r="K32" i="18"/>
  <c r="J32" i="18"/>
  <c r="I32" i="18"/>
  <c r="N32" i="18" s="1"/>
  <c r="G32" i="18"/>
  <c r="F32" i="18"/>
  <c r="E32" i="18"/>
  <c r="D32" i="18"/>
  <c r="H32" i="18" s="1"/>
  <c r="C32" i="18"/>
  <c r="T31" i="18"/>
  <c r="N31" i="18"/>
  <c r="H31" i="18"/>
  <c r="T30" i="18"/>
  <c r="U30" i="18" s="1"/>
  <c r="N30" i="18"/>
  <c r="H30" i="18"/>
  <c r="T29" i="18"/>
  <c r="U29" i="18" s="1"/>
  <c r="N29" i="18"/>
  <c r="H29" i="18"/>
  <c r="T28" i="18"/>
  <c r="N28" i="18"/>
  <c r="H28" i="18"/>
  <c r="S27" i="18"/>
  <c r="R27" i="18"/>
  <c r="Q27" i="18"/>
  <c r="P27" i="18"/>
  <c r="P38" i="18" s="1"/>
  <c r="O27" i="18"/>
  <c r="M27" i="18"/>
  <c r="L27" i="18"/>
  <c r="L38" i="18" s="1"/>
  <c r="K27" i="18"/>
  <c r="K38" i="18" s="1"/>
  <c r="J27" i="18"/>
  <c r="I27" i="18"/>
  <c r="G27" i="18"/>
  <c r="F27" i="18"/>
  <c r="E27" i="18"/>
  <c r="D27" i="18"/>
  <c r="C27" i="18"/>
  <c r="T26" i="18"/>
  <c r="N26" i="18"/>
  <c r="H26" i="18"/>
  <c r="T25" i="18"/>
  <c r="N25" i="18"/>
  <c r="H25" i="18"/>
  <c r="O24" i="18"/>
  <c r="S23" i="18"/>
  <c r="S24" i="18" s="1"/>
  <c r="R23" i="18"/>
  <c r="R24" i="18" s="1"/>
  <c r="Q23" i="18"/>
  <c r="P23" i="18"/>
  <c r="O23" i="18"/>
  <c r="M23" i="18"/>
  <c r="L23" i="18"/>
  <c r="K23" i="18"/>
  <c r="J23" i="18"/>
  <c r="I23" i="18"/>
  <c r="G23" i="18"/>
  <c r="G24" i="18" s="1"/>
  <c r="F23" i="18"/>
  <c r="E23" i="18"/>
  <c r="D23" i="18"/>
  <c r="C23" i="18"/>
  <c r="T22" i="18"/>
  <c r="N22" i="18"/>
  <c r="H22" i="18"/>
  <c r="U22" i="18" s="1"/>
  <c r="T21" i="18"/>
  <c r="N21" i="18"/>
  <c r="H21" i="18"/>
  <c r="U21" i="18" s="1"/>
  <c r="T20" i="18"/>
  <c r="N20" i="18"/>
  <c r="H20" i="18"/>
  <c r="U20" i="18" s="1"/>
  <c r="S19" i="18"/>
  <c r="R19" i="18"/>
  <c r="Q19" i="18"/>
  <c r="O19" i="18"/>
  <c r="L19" i="18"/>
  <c r="K19" i="18"/>
  <c r="K24" i="18" s="1"/>
  <c r="J19" i="18"/>
  <c r="I19" i="18"/>
  <c r="E19" i="18"/>
  <c r="D19" i="18"/>
  <c r="H19" i="18" s="1"/>
  <c r="C19" i="18"/>
  <c r="T18" i="18"/>
  <c r="N18" i="18"/>
  <c r="U18" i="18" s="1"/>
  <c r="H18" i="18"/>
  <c r="P17" i="18"/>
  <c r="T17" i="18" s="1"/>
  <c r="N17" i="18"/>
  <c r="H17" i="18"/>
  <c r="T16" i="18"/>
  <c r="N16" i="18"/>
  <c r="H16" i="18"/>
  <c r="S15" i="18"/>
  <c r="R15" i="18"/>
  <c r="Q15" i="18"/>
  <c r="O15" i="18"/>
  <c r="M15" i="18"/>
  <c r="L15" i="18"/>
  <c r="K15" i="18"/>
  <c r="J15" i="18"/>
  <c r="G15" i="18"/>
  <c r="F15" i="18"/>
  <c r="E15" i="18"/>
  <c r="D15" i="18"/>
  <c r="T14" i="18"/>
  <c r="I14" i="18"/>
  <c r="I15" i="18" s="1"/>
  <c r="C14" i="18"/>
  <c r="H14" i="18" s="1"/>
  <c r="P13" i="18"/>
  <c r="T13" i="18" s="1"/>
  <c r="N13" i="18"/>
  <c r="C13" i="18"/>
  <c r="C15" i="18" s="1"/>
  <c r="U12" i="18"/>
  <c r="T12" i="18"/>
  <c r="N12" i="18"/>
  <c r="H12" i="18"/>
  <c r="S11" i="18"/>
  <c r="R11" i="18"/>
  <c r="Q11" i="18"/>
  <c r="O11" i="18"/>
  <c r="M11" i="18"/>
  <c r="L11" i="18"/>
  <c r="K11" i="18"/>
  <c r="J11" i="18"/>
  <c r="I11" i="18"/>
  <c r="N11" i="18" s="1"/>
  <c r="G11" i="18"/>
  <c r="F11" i="18"/>
  <c r="E11" i="18"/>
  <c r="D11" i="18"/>
  <c r="D24" i="18" s="1"/>
  <c r="T10" i="18"/>
  <c r="U10" i="18" s="1"/>
  <c r="N10" i="18"/>
  <c r="H10" i="18"/>
  <c r="T9" i="18"/>
  <c r="P9" i="18"/>
  <c r="P11" i="18" s="1"/>
  <c r="T11" i="18" s="1"/>
  <c r="N9" i="18"/>
  <c r="C9" i="18"/>
  <c r="H9" i="18" s="1"/>
  <c r="T8" i="18"/>
  <c r="N8" i="18"/>
  <c r="H8" i="18"/>
  <c r="T7" i="18"/>
  <c r="N7" i="18"/>
  <c r="H7" i="18"/>
  <c r="I21" i="26"/>
  <c r="I20" i="26"/>
  <c r="H17" i="26"/>
  <c r="R11" i="26"/>
  <c r="P11" i="26"/>
  <c r="O11" i="26"/>
  <c r="L11" i="26"/>
  <c r="J11" i="26"/>
  <c r="I11" i="26"/>
  <c r="F11" i="26"/>
  <c r="D11" i="26"/>
  <c r="C11" i="26"/>
  <c r="T10" i="26"/>
  <c r="S10" i="26"/>
  <c r="Q10" i="26"/>
  <c r="N10" i="26"/>
  <c r="M10" i="26"/>
  <c r="K10" i="26"/>
  <c r="H10" i="26"/>
  <c r="G10" i="26"/>
  <c r="E10" i="26"/>
  <c r="T9" i="26"/>
  <c r="S9" i="26"/>
  <c r="Q9" i="26"/>
  <c r="N9" i="26"/>
  <c r="M9" i="26"/>
  <c r="K9" i="26"/>
  <c r="H9" i="26"/>
  <c r="U9" i="26" s="1"/>
  <c r="G9" i="26"/>
  <c r="E9" i="26"/>
  <c r="T8" i="26"/>
  <c r="S8" i="26"/>
  <c r="Q8" i="26"/>
  <c r="N8" i="26"/>
  <c r="M8" i="26"/>
  <c r="K8" i="26"/>
  <c r="H8" i="26"/>
  <c r="G8" i="26"/>
  <c r="E8" i="26"/>
  <c r="T7" i="26"/>
  <c r="S7" i="26"/>
  <c r="Q7" i="26"/>
  <c r="N7" i="26"/>
  <c r="M7" i="26"/>
  <c r="K7" i="26"/>
  <c r="H7" i="26"/>
  <c r="G7" i="26"/>
  <c r="E7" i="26"/>
  <c r="R11" i="25"/>
  <c r="P11" i="25"/>
  <c r="O11" i="25"/>
  <c r="L11" i="25"/>
  <c r="J11" i="25"/>
  <c r="I11" i="25"/>
  <c r="F11" i="25"/>
  <c r="D11" i="25"/>
  <c r="C11" i="25"/>
  <c r="T10" i="25"/>
  <c r="S10" i="25"/>
  <c r="Q10" i="25"/>
  <c r="N10" i="25"/>
  <c r="M10" i="25"/>
  <c r="K10" i="25"/>
  <c r="H10" i="25"/>
  <c r="U10" i="25" s="1"/>
  <c r="G10" i="25"/>
  <c r="E10" i="25"/>
  <c r="T9" i="25"/>
  <c r="S9" i="25"/>
  <c r="Q9" i="25"/>
  <c r="N9" i="25"/>
  <c r="M9" i="25"/>
  <c r="K9" i="25"/>
  <c r="H9" i="25"/>
  <c r="G9" i="25"/>
  <c r="E9" i="25"/>
  <c r="T8" i="25"/>
  <c r="S8" i="25"/>
  <c r="Q8" i="25"/>
  <c r="N8" i="25"/>
  <c r="M8" i="25"/>
  <c r="K8" i="25"/>
  <c r="H8" i="25"/>
  <c r="G8" i="25"/>
  <c r="E8" i="25"/>
  <c r="T7" i="25"/>
  <c r="S7" i="25"/>
  <c r="Q7" i="25"/>
  <c r="N7" i="25"/>
  <c r="M7" i="25"/>
  <c r="K7" i="25"/>
  <c r="H7" i="25"/>
  <c r="G7" i="25"/>
  <c r="E7" i="25"/>
  <c r="I21" i="24"/>
  <c r="I20" i="24"/>
  <c r="H17" i="24"/>
  <c r="R9" i="24"/>
  <c r="P9" i="24"/>
  <c r="O9" i="24"/>
  <c r="T9" i="24" s="1"/>
  <c r="L9" i="24"/>
  <c r="J9" i="24"/>
  <c r="I9" i="24"/>
  <c r="F9" i="24"/>
  <c r="D9" i="24"/>
  <c r="C9" i="24"/>
  <c r="T8" i="24"/>
  <c r="S8" i="24"/>
  <c r="Q8" i="24"/>
  <c r="N8" i="24"/>
  <c r="M8" i="24"/>
  <c r="K8" i="24"/>
  <c r="H8" i="24"/>
  <c r="G8" i="24"/>
  <c r="E8" i="24"/>
  <c r="T7" i="24"/>
  <c r="S7" i="24"/>
  <c r="Q7" i="24"/>
  <c r="N7" i="24"/>
  <c r="M7" i="24"/>
  <c r="K7" i="24"/>
  <c r="H7" i="24"/>
  <c r="G7" i="24"/>
  <c r="E7" i="24"/>
  <c r="I22" i="23"/>
  <c r="I21" i="23"/>
  <c r="C20" i="23"/>
  <c r="R19" i="23"/>
  <c r="P19" i="23"/>
  <c r="O19" i="23"/>
  <c r="L19" i="23"/>
  <c r="J19" i="23"/>
  <c r="I19" i="23"/>
  <c r="F19" i="23"/>
  <c r="D19" i="23"/>
  <c r="C19" i="23"/>
  <c r="T18" i="23"/>
  <c r="S18" i="23"/>
  <c r="Q18" i="23"/>
  <c r="N18" i="23"/>
  <c r="M18" i="23"/>
  <c r="K18" i="23"/>
  <c r="H18" i="23"/>
  <c r="G18" i="23"/>
  <c r="E18" i="23"/>
  <c r="T17" i="23"/>
  <c r="S17" i="23"/>
  <c r="Q17" i="23"/>
  <c r="N17" i="23"/>
  <c r="M17" i="23"/>
  <c r="K17" i="23"/>
  <c r="H17" i="23"/>
  <c r="U17" i="23" s="1"/>
  <c r="G17" i="23"/>
  <c r="E17" i="23"/>
  <c r="T16" i="23"/>
  <c r="S16" i="23"/>
  <c r="Q16" i="23"/>
  <c r="N16" i="23"/>
  <c r="M16" i="23"/>
  <c r="K16" i="23"/>
  <c r="H16" i="23"/>
  <c r="G16" i="23"/>
  <c r="E16" i="23"/>
  <c r="T15" i="23"/>
  <c r="S15" i="23"/>
  <c r="Q15" i="23"/>
  <c r="N15" i="23"/>
  <c r="M15" i="23"/>
  <c r="K15" i="23"/>
  <c r="H15" i="23"/>
  <c r="G15" i="23"/>
  <c r="E15" i="23"/>
  <c r="R14" i="23"/>
  <c r="P14" i="23"/>
  <c r="O14" i="23"/>
  <c r="O20" i="23" s="1"/>
  <c r="L14" i="23"/>
  <c r="J14" i="23"/>
  <c r="I14" i="23"/>
  <c r="F14" i="23"/>
  <c r="D14" i="23"/>
  <c r="C14" i="23"/>
  <c r="T13" i="23"/>
  <c r="S13" i="23"/>
  <c r="Q13" i="23"/>
  <c r="N13" i="23"/>
  <c r="M13" i="23"/>
  <c r="K13" i="23"/>
  <c r="H13" i="23"/>
  <c r="G13" i="23"/>
  <c r="E13" i="23"/>
  <c r="T12" i="23"/>
  <c r="S12" i="23"/>
  <c r="Q12" i="23"/>
  <c r="N12" i="23"/>
  <c r="M12" i="23"/>
  <c r="K12" i="23"/>
  <c r="H12" i="23"/>
  <c r="G12" i="23"/>
  <c r="E12" i="23"/>
  <c r="T11" i="23"/>
  <c r="S11" i="23"/>
  <c r="Q11" i="23"/>
  <c r="N11" i="23"/>
  <c r="U11" i="23" s="1"/>
  <c r="M11" i="23"/>
  <c r="K11" i="23"/>
  <c r="H11" i="23"/>
  <c r="G11" i="23"/>
  <c r="E11" i="23"/>
  <c r="T10" i="23"/>
  <c r="S10" i="23"/>
  <c r="Q10" i="23"/>
  <c r="N10" i="23"/>
  <c r="M10" i="23"/>
  <c r="K10" i="23"/>
  <c r="H10" i="23"/>
  <c r="U10" i="23" s="1"/>
  <c r="G10" i="23"/>
  <c r="E10" i="23"/>
  <c r="R9" i="23"/>
  <c r="P9" i="23"/>
  <c r="T9" i="23" s="1"/>
  <c r="O9" i="23"/>
  <c r="L9" i="23"/>
  <c r="J9" i="23"/>
  <c r="I9" i="23"/>
  <c r="N9" i="23" s="1"/>
  <c r="F9" i="23"/>
  <c r="D9" i="23"/>
  <c r="C9" i="23"/>
  <c r="T8" i="23"/>
  <c r="S8" i="23"/>
  <c r="Q8" i="23"/>
  <c r="N8" i="23"/>
  <c r="M8" i="23"/>
  <c r="K8" i="23"/>
  <c r="H8" i="23"/>
  <c r="G8" i="23"/>
  <c r="E8" i="23"/>
  <c r="T7" i="23"/>
  <c r="S7" i="23"/>
  <c r="Q7" i="23"/>
  <c r="N7" i="23"/>
  <c r="U7" i="23" s="1"/>
  <c r="M7" i="23"/>
  <c r="K7" i="23"/>
  <c r="H7" i="23"/>
  <c r="G7" i="23"/>
  <c r="E7" i="23"/>
  <c r="N14" i="23" l="1"/>
  <c r="P20" i="23"/>
  <c r="T19" i="23"/>
  <c r="U9" i="25"/>
  <c r="U8" i="23"/>
  <c r="H9" i="23"/>
  <c r="U12" i="23"/>
  <c r="U13" i="23"/>
  <c r="I20" i="23"/>
  <c r="U7" i="24"/>
  <c r="U8" i="24"/>
  <c r="N9" i="24"/>
  <c r="T11" i="26"/>
  <c r="U8" i="18"/>
  <c r="U17" i="18"/>
  <c r="N19" i="18"/>
  <c r="F24" i="18"/>
  <c r="U25" i="18"/>
  <c r="U31" i="18"/>
  <c r="T32" i="18"/>
  <c r="F38" i="18"/>
  <c r="Q38" i="18"/>
  <c r="U46" i="18"/>
  <c r="S49" i="18"/>
  <c r="S50" i="18" s="1"/>
  <c r="V8" i="14"/>
  <c r="V10" i="14"/>
  <c r="G19" i="14"/>
  <c r="V30" i="14"/>
  <c r="V34" i="14"/>
  <c r="O37" i="14"/>
  <c r="V36" i="14"/>
  <c r="S38" i="14"/>
  <c r="T38" i="14" s="1"/>
  <c r="V39" i="14"/>
  <c r="V43" i="14" s="1"/>
  <c r="O43" i="14"/>
  <c r="O49" i="14" s="1"/>
  <c r="V42" i="14"/>
  <c r="F49" i="14"/>
  <c r="K43" i="14"/>
  <c r="R43" i="14"/>
  <c r="H48" i="14"/>
  <c r="D20" i="23"/>
  <c r="U18" i="23"/>
  <c r="U7" i="25"/>
  <c r="U10" i="26"/>
  <c r="U7" i="18"/>
  <c r="U16" i="18"/>
  <c r="P19" i="18"/>
  <c r="T19" i="18" s="1"/>
  <c r="H23" i="18"/>
  <c r="Q24" i="18"/>
  <c r="H37" i="18"/>
  <c r="R38" i="18"/>
  <c r="U45" i="18"/>
  <c r="L53" i="18"/>
  <c r="V13" i="14"/>
  <c r="V17" i="14"/>
  <c r="V21" i="14"/>
  <c r="V25" i="14"/>
  <c r="V29" i="14"/>
  <c r="V32" i="14" s="1"/>
  <c r="V45" i="14"/>
  <c r="N48" i="14"/>
  <c r="M24" i="18"/>
  <c r="I38" i="18"/>
  <c r="M38" i="18"/>
  <c r="H49" i="18"/>
  <c r="C49" i="18"/>
  <c r="G50" i="18"/>
  <c r="J24" i="14"/>
  <c r="J38" i="14"/>
  <c r="I38" i="14"/>
  <c r="P38" i="14"/>
  <c r="U15" i="23"/>
  <c r="U16" i="23"/>
  <c r="U8" i="25"/>
  <c r="N11" i="25"/>
  <c r="T11" i="25"/>
  <c r="U7" i="26"/>
  <c r="U8" i="26"/>
  <c r="U9" i="18"/>
  <c r="N15" i="18"/>
  <c r="L24" i="18"/>
  <c r="E24" i="18"/>
  <c r="N23" i="18"/>
  <c r="T23" i="18"/>
  <c r="U26" i="18"/>
  <c r="D38" i="18"/>
  <c r="N27" i="18"/>
  <c r="U28" i="18"/>
  <c r="E38" i="18"/>
  <c r="N37" i="18"/>
  <c r="N38" i="18" s="1"/>
  <c r="C38" i="18"/>
  <c r="Q49" i="18"/>
  <c r="N48" i="18"/>
  <c r="U47" i="18"/>
  <c r="D49" i="18"/>
  <c r="O11" i="14"/>
  <c r="K15" i="14"/>
  <c r="V16" i="14"/>
  <c r="O19" i="14"/>
  <c r="K19" i="14"/>
  <c r="V20" i="14"/>
  <c r="V23" i="14" s="1"/>
  <c r="O23" i="14"/>
  <c r="K23" i="14"/>
  <c r="K27" i="14"/>
  <c r="V28" i="14"/>
  <c r="F38" i="14"/>
  <c r="G38" i="14" s="1"/>
  <c r="K32" i="14"/>
  <c r="R32" i="14"/>
  <c r="V46" i="14"/>
  <c r="V51" i="14"/>
  <c r="L20" i="23"/>
  <c r="M20" i="23" s="1"/>
  <c r="H19" i="23"/>
  <c r="N19" i="23"/>
  <c r="R20" i="23"/>
  <c r="H11" i="25"/>
  <c r="U11" i="25" s="1"/>
  <c r="U33" i="18"/>
  <c r="U39" i="18"/>
  <c r="U40" i="18"/>
  <c r="H11" i="26"/>
  <c r="U42" i="18"/>
  <c r="F20" i="23"/>
  <c r="H20" i="23" s="1"/>
  <c r="O37" i="18"/>
  <c r="U36" i="18"/>
  <c r="U41" i="18"/>
  <c r="U9" i="23"/>
  <c r="H9" i="24"/>
  <c r="U9" i="24" s="1"/>
  <c r="N11" i="26"/>
  <c r="U35" i="18"/>
  <c r="V52" i="14"/>
  <c r="E20" i="23"/>
  <c r="Q20" i="23"/>
  <c r="E9" i="23"/>
  <c r="E9" i="24"/>
  <c r="M9" i="23"/>
  <c r="M9" i="24"/>
  <c r="Q9" i="23"/>
  <c r="Q9" i="24"/>
  <c r="G19" i="23"/>
  <c r="G11" i="25"/>
  <c r="K19" i="23"/>
  <c r="K11" i="25"/>
  <c r="S19" i="23"/>
  <c r="S11" i="25"/>
  <c r="T20" i="23"/>
  <c r="H15" i="18"/>
  <c r="I24" i="18"/>
  <c r="U32" i="18"/>
  <c r="O38" i="18"/>
  <c r="T37" i="18"/>
  <c r="U37" i="18" s="1"/>
  <c r="G11" i="26"/>
  <c r="G14" i="23"/>
  <c r="K11" i="26"/>
  <c r="K14" i="23"/>
  <c r="S11" i="26"/>
  <c r="S14" i="23"/>
  <c r="U19" i="18"/>
  <c r="N24" i="18"/>
  <c r="M50" i="18"/>
  <c r="G9" i="24"/>
  <c r="G9" i="23"/>
  <c r="K9" i="24"/>
  <c r="K9" i="23"/>
  <c r="S9" i="24"/>
  <c r="S9" i="23"/>
  <c r="E11" i="25"/>
  <c r="E19" i="23"/>
  <c r="M11" i="25"/>
  <c r="M19" i="23"/>
  <c r="Q11" i="25"/>
  <c r="Q19" i="23"/>
  <c r="L50" i="18"/>
  <c r="E50" i="18"/>
  <c r="E11" i="26"/>
  <c r="E14" i="23"/>
  <c r="M11" i="26"/>
  <c r="M14" i="23"/>
  <c r="Q11" i="26"/>
  <c r="Q14" i="23"/>
  <c r="U11" i="26"/>
  <c r="U23" i="18"/>
  <c r="Q50" i="18"/>
  <c r="D50" i="18"/>
  <c r="C11" i="18"/>
  <c r="H11" i="18" s="1"/>
  <c r="U11" i="18" s="1"/>
  <c r="H13" i="18"/>
  <c r="U13" i="18" s="1"/>
  <c r="N14" i="18"/>
  <c r="U14" i="18" s="1"/>
  <c r="P15" i="18"/>
  <c r="P24" i="18" s="1"/>
  <c r="P50" i="18" s="1"/>
  <c r="O43" i="18"/>
  <c r="T43" i="18" s="1"/>
  <c r="T49" i="18" s="1"/>
  <c r="N11" i="14"/>
  <c r="O38" i="14"/>
  <c r="F50" i="14"/>
  <c r="G50" i="14" s="1"/>
  <c r="G49" i="14"/>
  <c r="V44" i="14"/>
  <c r="V48" i="14" s="1"/>
  <c r="V49" i="14" s="1"/>
  <c r="H14" i="23"/>
  <c r="T14" i="23"/>
  <c r="J20" i="23"/>
  <c r="N20" i="23" s="1"/>
  <c r="J24" i="18"/>
  <c r="J38" i="18"/>
  <c r="U44" i="18"/>
  <c r="U48" i="18" s="1"/>
  <c r="F49" i="18"/>
  <c r="F50" i="18" s="1"/>
  <c r="J49" i="18"/>
  <c r="R49" i="18"/>
  <c r="R50" i="18" s="1"/>
  <c r="I24" i="14"/>
  <c r="P24" i="14"/>
  <c r="M49" i="14"/>
  <c r="H27" i="18"/>
  <c r="T27" i="18"/>
  <c r="I43" i="18"/>
  <c r="K49" i="18"/>
  <c r="K50" i="18" s="1"/>
  <c r="H11" i="14"/>
  <c r="U11" i="14"/>
  <c r="R11" i="14"/>
  <c r="K38" i="14"/>
  <c r="I50" i="14"/>
  <c r="P50" i="14"/>
  <c r="T34" i="18"/>
  <c r="U34" i="18" s="1"/>
  <c r="V12" i="14"/>
  <c r="V14" i="14"/>
  <c r="V18" i="14"/>
  <c r="V19" i="14" s="1"/>
  <c r="O24" i="14"/>
  <c r="V22" i="14"/>
  <c r="S24" i="14"/>
  <c r="T24" i="14" s="1"/>
  <c r="V26" i="14"/>
  <c r="V27" i="14" s="1"/>
  <c r="V33" i="14"/>
  <c r="V37" i="14" s="1"/>
  <c r="N37" i="14"/>
  <c r="V41" i="14"/>
  <c r="N49" i="14"/>
  <c r="J50" i="14"/>
  <c r="K49" i="14"/>
  <c r="R49" i="14"/>
  <c r="R15" i="14"/>
  <c r="R19" i="14"/>
  <c r="R23" i="14"/>
  <c r="K24" i="14"/>
  <c r="R27" i="14"/>
  <c r="E32" i="14"/>
  <c r="R37" i="14"/>
  <c r="E43" i="14"/>
  <c r="M43" i="14"/>
  <c r="N43" i="14" s="1"/>
  <c r="U43" i="14"/>
  <c r="R48" i="14"/>
  <c r="S49" i="14"/>
  <c r="U49" i="14" s="1"/>
  <c r="D24" i="14"/>
  <c r="L24" i="14"/>
  <c r="M24" i="14" s="1"/>
  <c r="N24" i="14" s="1"/>
  <c r="N32" i="14"/>
  <c r="D38" i="14"/>
  <c r="L38" i="14"/>
  <c r="M38" i="14" s="1"/>
  <c r="N38" i="14" s="1"/>
  <c r="D49" i="14"/>
  <c r="H15" i="14"/>
  <c r="H19" i="14"/>
  <c r="H23" i="14"/>
  <c r="Q24" i="14"/>
  <c r="H27" i="14"/>
  <c r="H37" i="14"/>
  <c r="Q38" i="14"/>
  <c r="Q50" i="14" l="1"/>
  <c r="U19" i="23"/>
  <c r="L50" i="14"/>
  <c r="M50" i="14" s="1"/>
  <c r="O50" i="14"/>
  <c r="U14" i="23"/>
  <c r="R50" i="14"/>
  <c r="E49" i="14"/>
  <c r="H49" i="14"/>
  <c r="D50" i="14"/>
  <c r="E24" i="14"/>
  <c r="H24" i="14"/>
  <c r="U27" i="18"/>
  <c r="U38" i="18" s="1"/>
  <c r="H24" i="18"/>
  <c r="S20" i="23"/>
  <c r="C24" i="18"/>
  <c r="C50" i="18" s="1"/>
  <c r="E38" i="14"/>
  <c r="H38" i="14"/>
  <c r="S50" i="14"/>
  <c r="T50" i="14" s="1"/>
  <c r="T49" i="14"/>
  <c r="K50" i="14"/>
  <c r="N50" i="14"/>
  <c r="V38" i="14"/>
  <c r="V50" i="14" s="1"/>
  <c r="V15" i="14"/>
  <c r="V24" i="14" s="1"/>
  <c r="T15" i="18"/>
  <c r="T24" i="18" s="1"/>
  <c r="K20" i="23"/>
  <c r="J54" i="18"/>
  <c r="H38" i="18"/>
  <c r="H50" i="18" s="1"/>
  <c r="R24" i="14"/>
  <c r="U24" i="14"/>
  <c r="N43" i="18"/>
  <c r="I49" i="18"/>
  <c r="I50" i="18" s="1"/>
  <c r="G20" i="23"/>
  <c r="T38" i="18"/>
  <c r="T50" i="18" s="1"/>
  <c r="R38" i="14"/>
  <c r="U38" i="14"/>
  <c r="J50" i="18"/>
  <c r="J53" i="18" s="1"/>
  <c r="O49" i="18"/>
  <c r="O50" i="18" s="1"/>
  <c r="U15" i="18"/>
  <c r="U24" i="18" s="1"/>
  <c r="U20" i="23" l="1"/>
  <c r="U43" i="18"/>
  <c r="U49" i="18" s="1"/>
  <c r="U50" i="18" s="1"/>
  <c r="N49" i="18"/>
  <c r="N50" i="18" s="1"/>
  <c r="J54" i="14"/>
  <c r="E50" i="14"/>
  <c r="J55" i="14" s="1"/>
  <c r="H50" i="14"/>
  <c r="J55" i="18"/>
  <c r="L57" i="18" s="1"/>
  <c r="U50" i="14"/>
  <c r="J56" i="14" l="1"/>
</calcChain>
</file>

<file path=xl/sharedStrings.xml><?xml version="1.0" encoding="utf-8"?>
<sst xmlns="http://schemas.openxmlformats.org/spreadsheetml/2006/main" count="1246" uniqueCount="141">
  <si>
    <t>BANGALORE ELECTRICITY SUPPLY COMPANY LIMITED</t>
  </si>
  <si>
    <t>Sl. No.</t>
  </si>
  <si>
    <t>Divisions</t>
  </si>
  <si>
    <t>Over head Lines</t>
  </si>
  <si>
    <t>Underground Cables</t>
  </si>
  <si>
    <t>AB Cables</t>
  </si>
  <si>
    <t>OB</t>
  </si>
  <si>
    <t>Added During</t>
  </si>
  <si>
    <t>Dismantled during</t>
  </si>
  <si>
    <t>CB</t>
  </si>
  <si>
    <t>Total</t>
  </si>
  <si>
    <t>Month</t>
  </si>
  <si>
    <t>Year</t>
  </si>
  <si>
    <t>Indiranagar</t>
  </si>
  <si>
    <t>Shivajinagar</t>
  </si>
  <si>
    <t>Vidhana Soudha</t>
  </si>
  <si>
    <t>East Circle</t>
  </si>
  <si>
    <t>Jayanagar</t>
  </si>
  <si>
    <t>Koramangala</t>
  </si>
  <si>
    <t>HSR</t>
  </si>
  <si>
    <t xml:space="preserve">South Circle </t>
  </si>
  <si>
    <t>Kengeri</t>
  </si>
  <si>
    <t>Rajarajeshwari nagar</t>
  </si>
  <si>
    <t>Rajajinagar</t>
  </si>
  <si>
    <t>West Circle</t>
  </si>
  <si>
    <t>Hebbala</t>
  </si>
  <si>
    <t>Malleshwaram</t>
  </si>
  <si>
    <t>Peenya</t>
  </si>
  <si>
    <t xml:space="preserve">North Circle </t>
  </si>
  <si>
    <t xml:space="preserve">BMAZ TOTAL </t>
  </si>
  <si>
    <t>Nelamangala</t>
  </si>
  <si>
    <t>Hosakote</t>
  </si>
  <si>
    <t xml:space="preserve">Blore Rural Circle </t>
  </si>
  <si>
    <t xml:space="preserve">Ramnagara </t>
  </si>
  <si>
    <t>Kanakpura</t>
  </si>
  <si>
    <t>Chandapura</t>
  </si>
  <si>
    <t>Ramnagar Circle</t>
  </si>
  <si>
    <t xml:space="preserve">Kolar </t>
  </si>
  <si>
    <t>KGF</t>
  </si>
  <si>
    <t>CB Pura</t>
  </si>
  <si>
    <t>Chintamani</t>
  </si>
  <si>
    <t xml:space="preserve">Kolar Circle </t>
  </si>
  <si>
    <t xml:space="preserve">BRAZ TOTAL </t>
  </si>
  <si>
    <t>Tumkur</t>
  </si>
  <si>
    <t>Tiptur</t>
  </si>
  <si>
    <t>Madhugiri</t>
  </si>
  <si>
    <t xml:space="preserve">Tumkur Circle </t>
  </si>
  <si>
    <t>Davanagere</t>
  </si>
  <si>
    <t>Harihara</t>
  </si>
  <si>
    <t>Chitradurga</t>
  </si>
  <si>
    <t>Hiriyur</t>
  </si>
  <si>
    <t xml:space="preserve">Davanagere Circle </t>
  </si>
  <si>
    <t>CTAZ TOTAL</t>
  </si>
  <si>
    <t xml:space="preserve">BESCOM </t>
  </si>
  <si>
    <t>HT LINES added during the month</t>
  </si>
  <si>
    <t>During the year</t>
  </si>
  <si>
    <t>TOTAL HT LINES EXISTING</t>
  </si>
  <si>
    <t>Assistant General Manager(Op-4)</t>
  </si>
  <si>
    <t>Deputy General Manager(Op-1)</t>
  </si>
  <si>
    <t>BESCOM</t>
  </si>
  <si>
    <t>C/s</t>
  </si>
  <si>
    <t>Chief General Manager,</t>
  </si>
  <si>
    <t>Operations, BESCOM</t>
  </si>
  <si>
    <t>Kunigal</t>
  </si>
  <si>
    <t>Magadi</t>
  </si>
  <si>
    <t>Whitefield</t>
  </si>
  <si>
    <t>Division-wise HT Overhead lines &amp; U.G.Cables added &amp; dismantled during the month of  Februrary 2019  &amp; during the Year 2018-19 in Route KMs</t>
  </si>
  <si>
    <t>Division-wise HT Overhead lines &amp; U.G.Cables added &amp; dismantled during the month of  March 2019  &amp; during the Year 2018-19 in Route KMs</t>
  </si>
  <si>
    <t>bescom ob</t>
  </si>
  <si>
    <t>circle ob</t>
  </si>
  <si>
    <t>Division-wise HT Overhead lines &amp; U.G.Cables added &amp; dismantled during the month of  May  2019  &amp; during the Year 2018-19 in Route KMs</t>
  </si>
  <si>
    <t>Jalahalli</t>
  </si>
  <si>
    <t>Division-wise HT Overhead lines &amp; U.G.Cables added &amp; dismantled during the month of March  2020 &amp; during the Year 2019-20 in Route KMs</t>
  </si>
  <si>
    <t>Over Head</t>
  </si>
  <si>
    <t>UG</t>
  </si>
  <si>
    <t>AB Cable</t>
  </si>
  <si>
    <t>Dimantled</t>
  </si>
  <si>
    <t xml:space="preserve">Added for the month </t>
  </si>
  <si>
    <t>EA¢gÁ£ÀUÀgÀ</t>
  </si>
  <si>
    <t>ªÉÊmï¦üÃ¯ïÙ</t>
  </si>
  <si>
    <t>²ªÁf£ÀUÀgÀ</t>
  </si>
  <si>
    <t>«zsÁ£À¸ËzsÀ</t>
  </si>
  <si>
    <t>¥ÀÆªÀð</t>
  </si>
  <si>
    <t>dAiÀÄ£ÀUÀgÀ</t>
  </si>
  <si>
    <t>PÉÆÃgÀªÀÄAUÀ®</t>
  </si>
  <si>
    <t>JZï.J¸ï.Dgï</t>
  </si>
  <si>
    <t>zÀQët</t>
  </si>
  <si>
    <t>gÁeÁf£ÀUÀgÀ</t>
  </si>
  <si>
    <t>PÉAUÉÃj</t>
  </si>
  <si>
    <t>¥À²ÑªÀÄ</t>
  </si>
  <si>
    <t>ªÀÄ¯ÉèÃ±ÀégÀA</t>
  </si>
  <si>
    <t>ºÉ¨Áâ¼À</t>
  </si>
  <si>
    <t>¦Ãtå</t>
  </si>
  <si>
    <t>eÁ®ºÀ½î</t>
  </si>
  <si>
    <t>GvÀÛgÀ</t>
  </si>
  <si>
    <t>¨ÉA.£ÀUÀgÀ PÉëÃvÀæ ªÀ®AiÀÄ</t>
  </si>
  <si>
    <t>£É®ªÀÄAUÀ®</t>
  </si>
  <si>
    <t>ºÀÉÆ¸ÀPÉÆÃmÉ</t>
  </si>
  <si>
    <t xml:space="preserve">¨ÉA.UÁæ«ÄÃt </t>
  </si>
  <si>
    <t>gÁªÀÄ£ÀUÀgÀ</t>
  </si>
  <si>
    <t>ªÀiÁUÀr</t>
  </si>
  <si>
    <t>PÀ£ÀPÀ¥ÀÅgÀ</t>
  </si>
  <si>
    <t>ZÀAzÁ¥ÀÄgÀ</t>
  </si>
  <si>
    <t>PÉÆÃ¯ÁgÀ</t>
  </si>
  <si>
    <t>PÉfJ¥sóï</t>
  </si>
  <si>
    <t>aPÀÌ§¼Áî¥ÀÅgÀ</t>
  </si>
  <si>
    <t>aAvÁªÀÄtÂ</t>
  </si>
  <si>
    <t>PÀÉÆÃ¯ÁgÀ</t>
  </si>
  <si>
    <t>¨ÉA.UÁæ«ÄÃt ªÀ®AiÀÄ</t>
  </si>
  <si>
    <t>vÀÄªÀÄPÀÆgÀÄ</t>
  </si>
  <si>
    <t>w¥ÀlÆgÀÄ</t>
  </si>
  <si>
    <t xml:space="preserve">ªÀÄzsÀÄVj </t>
  </si>
  <si>
    <t>PÀÄtÂUÀ¯ï</t>
  </si>
  <si>
    <t>zÁªÀtUÉgÉ</t>
  </si>
  <si>
    <t>ºÀjºÀgÀ</t>
  </si>
  <si>
    <t>avÀæzÀÄUÀð</t>
  </si>
  <si>
    <t>»jAiÀÄÆgÀÄ</t>
  </si>
  <si>
    <t>zÀÁªÀtUÉgÉ</t>
  </si>
  <si>
    <t>avÀæzÀÄUÀð ªÀ®AiÀÄ</t>
  </si>
  <si>
    <t>¨É.«.PÀA</t>
  </si>
  <si>
    <t>gÁdgÁeÉÃ±Àéj £ÀUÀgÀ</t>
  </si>
  <si>
    <t>«¨sÁUÀ</t>
  </si>
  <si>
    <t>PÀÀæªÀÄ ¸ÀASÉå</t>
  </si>
  <si>
    <t>¨ÉAUÀ¼ÀÆgÀÄ «zÀÄåvï ¸ÀgÀ§gÁdÄ PÀA¥À¤ ¤AiÀÄ«ÄvÀ</t>
  </si>
  <si>
    <t>wAUÀ¼ÀÄ</t>
  </si>
  <si>
    <t>ªÀµÀð</t>
  </si>
  <si>
    <t>PÀ¼ÀagÀÄªÀ «ªÀgÀUÀ¼ÀÄ</t>
  </si>
  <si>
    <t>¸ÉÃ¥ÀðqÉAiÀiÁVgÀÄªÀ «ªÀgÀUÀ¼ÀÄ</t>
  </si>
  <si>
    <t>MlÄÖ</t>
  </si>
  <si>
    <r>
      <t xml:space="preserve">AB </t>
    </r>
    <r>
      <rPr>
        <b/>
        <sz val="20"/>
        <rFont val="Nudi 01 e"/>
      </rPr>
      <t>PÉÃ§¯ï</t>
    </r>
  </si>
  <si>
    <r>
      <t xml:space="preserve">UG </t>
    </r>
    <r>
      <rPr>
        <b/>
        <sz val="20"/>
        <rFont val="Nudi 01 e"/>
      </rPr>
      <t>PÉÃ§¯ï</t>
    </r>
  </si>
  <si>
    <t xml:space="preserve">OH </t>
  </si>
  <si>
    <r>
      <t xml:space="preserve">¸É¥ÉÖA§gï-2023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</si>
  <si>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K¦æ¯ï-2023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</si>
  <si>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ªÀiÁZïð-2023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</si>
  <si>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ªÉÄÃ-2023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</si>
  <si>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dÆ£ï-2023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</si>
  <si>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dÄ¯ÉÊ-2023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</si>
  <si>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DUÀ¸ïÖ-2023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</si>
  <si>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CPÉÆÖÃ§gï-2023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</si>
  <si>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ನವೆಂಬರ್-2023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</si>
</sst>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Bookman Old Style"/>
      <family val="1"/>
    </font>
    <font>
      <b/>
      <u/>
      <sz val="24"/>
      <name val="Bookman Old Style"/>
      <family val="1"/>
    </font>
    <font>
      <sz val="26"/>
      <name val="Bookman Old Style"/>
      <family val="1"/>
    </font>
    <font>
      <b/>
      <sz val="18"/>
      <name val="Bookman Old Style"/>
      <family val="1"/>
    </font>
    <font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sz val="12"/>
      <color theme="1"/>
      <name val="Bookman Old Style"/>
      <family val="1"/>
    </font>
    <font>
      <sz val="16"/>
      <color theme="1"/>
      <name val="Bookman Old Style"/>
      <family val="1"/>
    </font>
    <font>
      <b/>
      <sz val="14"/>
      <name val="Bookman Old Style"/>
      <family val="1"/>
    </font>
    <font>
      <b/>
      <sz val="12"/>
      <color theme="0"/>
      <name val="Bookman Old Style"/>
      <family val="1"/>
    </font>
    <font>
      <b/>
      <sz val="14"/>
      <color theme="0"/>
      <name val="Bookman Old Style"/>
      <family val="1"/>
    </font>
    <font>
      <sz val="14"/>
      <name val="Bookman Old Style"/>
      <family val="1"/>
    </font>
    <font>
      <b/>
      <sz val="8"/>
      <name val="Bookman Old Style"/>
      <family val="1"/>
    </font>
    <font>
      <sz val="10"/>
      <color theme="0"/>
      <name val="Bookman Old Style"/>
      <family val="1"/>
    </font>
    <font>
      <b/>
      <sz val="15"/>
      <color theme="0"/>
      <name val="Bookman Old Style"/>
      <family val="1"/>
    </font>
    <font>
      <b/>
      <sz val="15"/>
      <name val="Bookman Old Style"/>
      <family val="1"/>
    </font>
    <font>
      <b/>
      <sz val="11"/>
      <color theme="0"/>
      <name val="Bookman Old Style"/>
      <family val="1"/>
    </font>
    <font>
      <sz val="16"/>
      <color theme="0"/>
      <name val="Bookman Old Style"/>
      <family val="1"/>
    </font>
    <font>
      <b/>
      <u/>
      <sz val="12"/>
      <name val="Bookman Old Style"/>
      <family val="1"/>
    </font>
    <font>
      <sz val="12"/>
      <color theme="0"/>
      <name val="Bookman Old Style"/>
      <family val="1"/>
    </font>
    <font>
      <b/>
      <sz val="20"/>
      <name val="Bookman Old Style"/>
      <family val="1"/>
    </font>
    <font>
      <b/>
      <u/>
      <sz val="20"/>
      <name val="Bookman Old Style"/>
      <family val="1"/>
    </font>
    <font>
      <sz val="20"/>
      <name val="Bookman Old Style"/>
      <family val="1"/>
    </font>
    <font>
      <sz val="20"/>
      <color theme="1"/>
      <name val="Bookman Old Style"/>
      <family val="1"/>
    </font>
    <font>
      <b/>
      <sz val="20"/>
      <color theme="0"/>
      <name val="Bookman Old Style"/>
      <family val="1"/>
    </font>
    <font>
      <sz val="20"/>
      <color theme="0"/>
      <name val="Bookman Old Style"/>
      <family val="1"/>
    </font>
    <font>
      <sz val="24"/>
      <name val="Bookman Old Style"/>
      <family val="1"/>
    </font>
    <font>
      <sz val="28"/>
      <color theme="0"/>
      <name val="Bookman Old Style"/>
      <family val="1"/>
    </font>
    <font>
      <sz val="28"/>
      <name val="Bookman Old Style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24"/>
      <color theme="0"/>
      <name val="Bookman Old Style"/>
      <family val="1"/>
    </font>
    <font>
      <b/>
      <sz val="22"/>
      <name val="Bookman Old Style"/>
      <family val="1"/>
    </font>
    <font>
      <sz val="20"/>
      <name val="Calibri"/>
      <family val="2"/>
      <scheme val="minor"/>
    </font>
    <font>
      <sz val="20"/>
      <name val="Nudi 01 e"/>
    </font>
    <font>
      <b/>
      <sz val="20"/>
      <name val="BRH Kannada"/>
    </font>
    <font>
      <b/>
      <sz val="22"/>
      <name val="BRH Kannada"/>
    </font>
    <font>
      <b/>
      <sz val="26"/>
      <name val="BRH Kannada"/>
    </font>
    <font>
      <b/>
      <sz val="20"/>
      <name val="Nudi 01 e"/>
    </font>
    <font>
      <b/>
      <u/>
      <sz val="20"/>
      <name val="Nudi 01 e"/>
    </font>
    <font>
      <b/>
      <sz val="26"/>
      <name val="Nudi 01 e"/>
    </font>
    <font>
      <b/>
      <sz val="26"/>
      <name val="Bookman Old Style"/>
      <family val="1"/>
    </font>
    <font>
      <b/>
      <sz val="28"/>
      <name val="Nudi 01 e"/>
    </font>
    <font>
      <b/>
      <u/>
      <sz val="28"/>
      <name val="Nudi 01 e"/>
    </font>
    <font>
      <b/>
      <sz val="48"/>
      <name val="Nudi 01 e"/>
    </font>
    <font>
      <b/>
      <u/>
      <sz val="48"/>
      <name val="Nudi 01 e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40" fillId="0" borderId="0"/>
    <xf numFmtId="0" fontId="2" fillId="0" borderId="0"/>
    <xf numFmtId="0" fontId="2" fillId="0" borderId="0"/>
    <xf numFmtId="0" fontId="2" fillId="0" borderId="0"/>
  </cellStyleXfs>
  <cellXfs count="254">
    <xf numFmtId="0" fontId="0" fillId="0" borderId="0" xfId="0"/>
    <xf numFmtId="0" fontId="5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left" vertical="top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wrapText="1"/>
    </xf>
    <xf numFmtId="2" fontId="12" fillId="0" borderId="1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wrapText="1"/>
    </xf>
    <xf numFmtId="0" fontId="13" fillId="0" borderId="1" xfId="1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horizontal="left" vertical="top" wrapText="1"/>
    </xf>
    <xf numFmtId="2" fontId="13" fillId="0" borderId="1" xfId="1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top" wrapText="1"/>
    </xf>
    <xf numFmtId="0" fontId="15" fillId="0" borderId="1" xfId="1" applyFont="1" applyFill="1" applyBorder="1" applyAlignment="1">
      <alignment horizontal="left" vertical="top" wrapText="1"/>
    </xf>
    <xf numFmtId="2" fontId="15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wrapText="1"/>
    </xf>
    <xf numFmtId="2" fontId="16" fillId="0" borderId="1" xfId="1" applyNumberFormat="1" applyFont="1" applyFill="1" applyBorder="1" applyAlignment="1">
      <alignment horizontal="center" wrapText="1"/>
    </xf>
    <xf numFmtId="0" fontId="15" fillId="0" borderId="0" xfId="1" applyFont="1" applyFill="1" applyBorder="1" applyAlignment="1">
      <alignment wrapText="1"/>
    </xf>
    <xf numFmtId="0" fontId="11" fillId="0" borderId="1" xfId="1" applyFont="1" applyFill="1" applyBorder="1" applyAlignment="1">
      <alignment wrapText="1"/>
    </xf>
    <xf numFmtId="0" fontId="13" fillId="0" borderId="1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horizontal="center" vertical="center" wrapText="1"/>
    </xf>
    <xf numFmtId="2" fontId="19" fillId="0" borderId="0" xfId="1" applyNumberFormat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wrapText="1"/>
    </xf>
    <xf numFmtId="2" fontId="20" fillId="0" borderId="0" xfId="1" applyNumberFormat="1" applyFont="1" applyFill="1" applyBorder="1" applyAlignment="1">
      <alignment wrapText="1"/>
    </xf>
    <xf numFmtId="2" fontId="21" fillId="0" borderId="0" xfId="1" applyNumberFormat="1" applyFont="1" applyFill="1" applyBorder="1" applyAlignment="1">
      <alignment horizontal="center" vertical="center" wrapText="1"/>
    </xf>
    <xf numFmtId="2" fontId="8" fillId="0" borderId="0" xfId="1" applyNumberFormat="1" applyFont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horizontal="right" wrapText="1"/>
    </xf>
    <xf numFmtId="2" fontId="8" fillId="0" borderId="0" xfId="1" applyNumberFormat="1" applyFont="1" applyFill="1" applyBorder="1" applyAlignment="1">
      <alignment wrapText="1"/>
    </xf>
    <xf numFmtId="2" fontId="8" fillId="0" borderId="0" xfId="1" applyNumberFormat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right" vertical="center" wrapText="1"/>
    </xf>
    <xf numFmtId="2" fontId="22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right" wrapText="1"/>
    </xf>
    <xf numFmtId="2" fontId="14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horizontal="right" wrapText="1"/>
    </xf>
    <xf numFmtId="0" fontId="24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right" wrapText="1"/>
    </xf>
    <xf numFmtId="164" fontId="25" fillId="0" borderId="0" xfId="1" applyNumberFormat="1" applyFont="1" applyFill="1" applyBorder="1" applyAlignment="1">
      <alignment wrapText="1"/>
    </xf>
    <xf numFmtId="0" fontId="22" fillId="0" borderId="0" xfId="1" applyFont="1" applyFill="1" applyBorder="1" applyAlignment="1">
      <alignment wrapText="1"/>
    </xf>
    <xf numFmtId="0" fontId="22" fillId="0" borderId="0" xfId="1" applyFont="1" applyFill="1" applyBorder="1" applyAlignment="1">
      <alignment horizontal="right" wrapText="1"/>
    </xf>
    <xf numFmtId="2" fontId="26" fillId="0" borderId="0" xfId="1" applyNumberFormat="1" applyFont="1" applyFill="1" applyBorder="1" applyAlignment="1">
      <alignment horizontal="center" vertical="center" wrapText="1"/>
    </xf>
    <xf numFmtId="2" fontId="13" fillId="2" borderId="0" xfId="1" applyNumberFormat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wrapText="1"/>
    </xf>
    <xf numFmtId="2" fontId="13" fillId="2" borderId="1" xfId="1" applyNumberFormat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left" vertical="top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wrapText="1"/>
    </xf>
    <xf numFmtId="2" fontId="11" fillId="0" borderId="0" xfId="1" applyNumberFormat="1" applyFont="1" applyFill="1" applyBorder="1" applyAlignment="1">
      <alignment wrapText="1"/>
    </xf>
    <xf numFmtId="0" fontId="11" fillId="0" borderId="0" xfId="1" applyFont="1" applyFill="1" applyBorder="1" applyAlignment="1">
      <alignment vertical="center" wrapText="1"/>
    </xf>
    <xf numFmtId="2" fontId="28" fillId="0" borderId="0" xfId="1" applyNumberFormat="1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center" vertical="center" wrapText="1"/>
    </xf>
    <xf numFmtId="2" fontId="28" fillId="0" borderId="0" xfId="1" applyNumberFormat="1" applyFont="1" applyFill="1" applyBorder="1" applyAlignment="1">
      <alignment horizontal="center" wrapText="1"/>
    </xf>
    <xf numFmtId="2" fontId="11" fillId="0" borderId="0" xfId="1" applyNumberFormat="1" applyFont="1" applyFill="1" applyBorder="1" applyAlignment="1">
      <alignment vertical="center" wrapText="1"/>
    </xf>
    <xf numFmtId="2" fontId="11" fillId="0" borderId="0" xfId="1" applyNumberFormat="1" applyFont="1" applyFill="1" applyBorder="1" applyAlignment="1">
      <alignment horizontal="right" wrapText="1"/>
    </xf>
    <xf numFmtId="2" fontId="11" fillId="0" borderId="0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 wrapText="1"/>
    </xf>
    <xf numFmtId="2" fontId="28" fillId="0" borderId="0" xfId="1" applyNumberFormat="1" applyFont="1" applyFill="1" applyBorder="1" applyAlignment="1">
      <alignment wrapText="1"/>
    </xf>
    <xf numFmtId="2" fontId="13" fillId="0" borderId="0" xfId="1" applyNumberFormat="1" applyFont="1" applyFill="1" applyBorder="1" applyAlignment="1">
      <alignment horizontal="right" wrapText="1"/>
    </xf>
    <xf numFmtId="0" fontId="13" fillId="0" borderId="0" xfId="1" applyFont="1" applyFill="1" applyBorder="1" applyAlignment="1">
      <alignment horizontal="right" wrapText="1"/>
    </xf>
    <xf numFmtId="0" fontId="13" fillId="0" borderId="0" xfId="0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right" wrapText="1"/>
    </xf>
    <xf numFmtId="164" fontId="18" fillId="0" borderId="0" xfId="1" applyNumberFormat="1" applyFont="1" applyFill="1" applyBorder="1" applyAlignment="1">
      <alignment wrapText="1"/>
    </xf>
    <xf numFmtId="0" fontId="28" fillId="0" borderId="0" xfId="1" applyFont="1" applyFill="1" applyBorder="1" applyAlignment="1">
      <alignment wrapText="1"/>
    </xf>
    <xf numFmtId="0" fontId="28" fillId="0" borderId="0" xfId="1" applyFont="1" applyFill="1" applyBorder="1" applyAlignment="1">
      <alignment horizontal="right" wrapText="1"/>
    </xf>
    <xf numFmtId="0" fontId="15" fillId="0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2" fontId="11" fillId="3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2" fontId="11" fillId="4" borderId="1" xfId="1" applyNumberFormat="1" applyFont="1" applyFill="1" applyBorder="1" applyAlignment="1">
      <alignment horizontal="center" vertical="center" wrapText="1"/>
    </xf>
    <xf numFmtId="2" fontId="15" fillId="4" borderId="1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wrapText="1"/>
    </xf>
    <xf numFmtId="165" fontId="11" fillId="0" borderId="0" xfId="1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wrapText="1"/>
    </xf>
    <xf numFmtId="0" fontId="31" fillId="0" borderId="0" xfId="1" applyFont="1" applyFill="1" applyBorder="1" applyAlignment="1">
      <alignment vertical="center" wrapText="1"/>
    </xf>
    <xf numFmtId="2" fontId="31" fillId="0" borderId="1" xfId="1" applyNumberFormat="1" applyFont="1" applyFill="1" applyBorder="1" applyAlignment="1">
      <alignment horizontal="center" vertical="center" wrapText="1"/>
    </xf>
    <xf numFmtId="2" fontId="29" fillId="0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wrapText="1"/>
    </xf>
    <xf numFmtId="0" fontId="32" fillId="0" borderId="0" xfId="1" applyFont="1" applyFill="1" applyBorder="1" applyAlignment="1">
      <alignment wrapText="1"/>
    </xf>
    <xf numFmtId="0" fontId="32" fillId="0" borderId="1" xfId="1" applyFont="1" applyFill="1" applyBorder="1" applyAlignment="1">
      <alignment horizontal="center" vertical="center" wrapText="1"/>
    </xf>
    <xf numFmtId="2" fontId="32" fillId="0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2" fontId="33" fillId="0" borderId="0" xfId="1" applyNumberFormat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wrapText="1"/>
    </xf>
    <xf numFmtId="2" fontId="31" fillId="0" borderId="0" xfId="1" applyNumberFormat="1" applyFont="1" applyFill="1" applyBorder="1" applyAlignment="1">
      <alignment wrapText="1"/>
    </xf>
    <xf numFmtId="2" fontId="31" fillId="0" borderId="0" xfId="1" applyNumberFormat="1" applyFont="1" applyFill="1" applyBorder="1" applyAlignment="1">
      <alignment vertical="center" wrapText="1"/>
    </xf>
    <xf numFmtId="2" fontId="31" fillId="0" borderId="0" xfId="1" applyNumberFormat="1" applyFont="1" applyFill="1" applyBorder="1" applyAlignment="1">
      <alignment horizontal="right" wrapText="1"/>
    </xf>
    <xf numFmtId="2" fontId="31" fillId="0" borderId="0" xfId="1" applyNumberFormat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vertical="center" wrapText="1"/>
    </xf>
    <xf numFmtId="2" fontId="34" fillId="0" borderId="0" xfId="1" applyNumberFormat="1" applyFont="1" applyFill="1" applyBorder="1" applyAlignment="1">
      <alignment wrapText="1"/>
    </xf>
    <xf numFmtId="2" fontId="29" fillId="0" borderId="0" xfId="1" applyNumberFormat="1" applyFont="1" applyFill="1" applyBorder="1" applyAlignment="1">
      <alignment horizontal="right" wrapText="1"/>
    </xf>
    <xf numFmtId="0" fontId="29" fillId="0" borderId="0" xfId="1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0" fontId="31" fillId="0" borderId="0" xfId="1" applyFont="1" applyFill="1" applyBorder="1" applyAlignment="1">
      <alignment horizontal="right" wrapText="1"/>
    </xf>
    <xf numFmtId="0" fontId="34" fillId="0" borderId="0" xfId="1" applyFont="1" applyFill="1" applyBorder="1" applyAlignment="1">
      <alignment wrapText="1"/>
    </xf>
    <xf numFmtId="0" fontId="34" fillId="0" borderId="0" xfId="1" applyFont="1" applyFill="1" applyBorder="1" applyAlignment="1">
      <alignment horizontal="right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 wrapText="1"/>
    </xf>
    <xf numFmtId="2" fontId="35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36" fillId="0" borderId="0" xfId="1" applyNumberFormat="1" applyFont="1" applyFill="1" applyBorder="1" applyAlignment="1">
      <alignment wrapText="1"/>
    </xf>
    <xf numFmtId="2" fontId="37" fillId="0" borderId="0" xfId="1" applyNumberFormat="1" applyFont="1" applyFill="1" applyBorder="1" applyAlignment="1">
      <alignment wrapText="1"/>
    </xf>
    <xf numFmtId="2" fontId="34" fillId="0" borderId="1" xfId="1" applyNumberFormat="1" applyFont="1" applyFill="1" applyBorder="1" applyAlignment="1">
      <alignment horizontal="center" vertical="center" wrapText="1"/>
    </xf>
    <xf numFmtId="0" fontId="29" fillId="2" borderId="0" xfId="1" applyFont="1" applyFill="1" applyBorder="1" applyAlignment="1">
      <alignment wrapText="1"/>
    </xf>
    <xf numFmtId="0" fontId="29" fillId="5" borderId="0" xfId="1" applyFont="1" applyFill="1" applyBorder="1" applyAlignment="1">
      <alignment wrapText="1"/>
    </xf>
    <xf numFmtId="0" fontId="38" fillId="0" borderId="0" xfId="0" applyFont="1"/>
    <xf numFmtId="0" fontId="39" fillId="0" borderId="0" xfId="0" applyFont="1"/>
    <xf numFmtId="2" fontId="38" fillId="0" borderId="0" xfId="0" applyNumberFormat="1" applyFont="1"/>
    <xf numFmtId="17" fontId="0" fillId="0" borderId="0" xfId="0" applyNumberFormat="1"/>
    <xf numFmtId="2" fontId="0" fillId="0" borderId="0" xfId="0" applyNumberFormat="1"/>
    <xf numFmtId="0" fontId="35" fillId="0" borderId="0" xfId="1" applyFont="1" applyFill="1" applyBorder="1" applyAlignment="1">
      <alignment wrapText="1"/>
    </xf>
    <xf numFmtId="2" fontId="3" fillId="0" borderId="0" xfId="1" applyNumberFormat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2" fontId="3" fillId="0" borderId="0" xfId="1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right" wrapText="1"/>
    </xf>
    <xf numFmtId="2" fontId="41" fillId="0" borderId="0" xfId="1" applyNumberFormat="1" applyFont="1" applyFill="1" applyBorder="1" applyAlignment="1">
      <alignment wrapText="1"/>
    </xf>
    <xf numFmtId="0" fontId="35" fillId="0" borderId="0" xfId="1" applyFont="1" applyFill="1" applyBorder="1" applyAlignment="1">
      <alignment horizontal="center" wrapText="1"/>
    </xf>
    <xf numFmtId="0" fontId="35" fillId="0" borderId="0" xfId="1" applyFont="1" applyFill="1" applyBorder="1" applyAlignment="1">
      <alignment horizontal="center" vertical="center" wrapText="1"/>
    </xf>
    <xf numFmtId="2" fontId="35" fillId="0" borderId="0" xfId="1" applyNumberFormat="1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2" fontId="42" fillId="0" borderId="0" xfId="1" applyNumberFormat="1" applyFont="1" applyFill="1" applyBorder="1" applyAlignment="1">
      <alignment wrapText="1"/>
    </xf>
    <xf numFmtId="2" fontId="0" fillId="2" borderId="0" xfId="0" applyNumberFormat="1" applyFill="1"/>
    <xf numFmtId="0" fontId="43" fillId="0" borderId="1" xfId="4" applyFont="1" applyFill="1" applyBorder="1" applyAlignment="1">
      <alignment horizontal="center" vertical="center" wrapText="1"/>
    </xf>
    <xf numFmtId="0" fontId="44" fillId="0" borderId="1" xfId="4" applyFont="1" applyFill="1" applyBorder="1" applyAlignment="1">
      <alignment horizontal="center" vertical="center" wrapText="1"/>
    </xf>
    <xf numFmtId="0" fontId="44" fillId="0" borderId="1" xfId="5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35" fillId="0" borderId="1" xfId="6" applyNumberFormat="1" applyFont="1" applyFill="1" applyBorder="1" applyAlignment="1">
      <alignment horizontal="center" vertical="center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29" fillId="0" borderId="4" xfId="1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wrapText="1"/>
    </xf>
    <xf numFmtId="0" fontId="27" fillId="0" borderId="1" xfId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44" fillId="0" borderId="4" xfId="4" applyFont="1" applyFill="1" applyBorder="1" applyAlignment="1">
      <alignment horizontal="center" vertical="center" wrapText="1"/>
    </xf>
    <xf numFmtId="0" fontId="44" fillId="0" borderId="2" xfId="4" applyFont="1" applyFill="1" applyBorder="1" applyAlignment="1">
      <alignment horizontal="center" vertical="center" wrapText="1"/>
    </xf>
    <xf numFmtId="0" fontId="47" fillId="0" borderId="1" xfId="4" applyFont="1" applyFill="1" applyBorder="1" applyAlignment="1">
      <alignment horizontal="center" vertical="center" wrapText="1"/>
    </xf>
    <xf numFmtId="0" fontId="44" fillId="0" borderId="3" xfId="4" applyFont="1" applyFill="1" applyBorder="1" applyAlignment="1">
      <alignment horizontal="center" vertical="center" wrapText="1"/>
    </xf>
    <xf numFmtId="0" fontId="44" fillId="0" borderId="5" xfId="4" applyFont="1" applyFill="1" applyBorder="1" applyAlignment="1">
      <alignment horizontal="center" vertical="center" wrapText="1"/>
    </xf>
    <xf numFmtId="0" fontId="45" fillId="0" borderId="1" xfId="4" applyFont="1" applyFill="1" applyBorder="1" applyAlignment="1">
      <alignment horizontal="center" vertical="center" wrapText="1"/>
    </xf>
    <xf numFmtId="0" fontId="45" fillId="0" borderId="3" xfId="4" applyFont="1" applyFill="1" applyBorder="1" applyAlignment="1">
      <alignment horizontal="center" vertical="center" wrapText="1"/>
    </xf>
    <xf numFmtId="0" fontId="45" fillId="0" borderId="5" xfId="4" applyFont="1" applyFill="1" applyBorder="1" applyAlignment="1">
      <alignment horizontal="center" vertical="center" wrapText="1"/>
    </xf>
    <xf numFmtId="0" fontId="46" fillId="0" borderId="1" xfId="4" applyFont="1" applyFill="1" applyBorder="1" applyAlignment="1">
      <alignment horizontal="center" vertical="center" wrapText="1"/>
    </xf>
    <xf numFmtId="0" fontId="31" fillId="0" borderId="4" xfId="4" applyFont="1" applyFill="1" applyBorder="1" applyAlignment="1">
      <alignment horizontal="center" vertical="center" wrapText="1"/>
    </xf>
    <xf numFmtId="0" fontId="31" fillId="0" borderId="2" xfId="4" applyFont="1" applyFill="1" applyBorder="1" applyAlignment="1">
      <alignment horizontal="center" vertical="center" wrapText="1"/>
    </xf>
    <xf numFmtId="0" fontId="54" fillId="0" borderId="1" xfId="1" applyFont="1" applyFill="1" applyBorder="1" applyAlignment="1">
      <alignment horizontal="center" vertical="center" wrapText="1"/>
    </xf>
    <xf numFmtId="0" fontId="55" fillId="0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center" vertical="center" wrapText="1"/>
    </xf>
    <xf numFmtId="0" fontId="53" fillId="0" borderId="1" xfId="1" applyFont="1" applyFill="1" applyBorder="1" applyAlignment="1">
      <alignment horizontal="center" vertical="center" wrapText="1"/>
    </xf>
    <xf numFmtId="0" fontId="48" fillId="0" borderId="1" xfId="1" applyFont="1" applyFill="1" applyBorder="1" applyAlignment="1">
      <alignment horizontal="center" vertical="center" wrapText="1"/>
    </xf>
    <xf numFmtId="0" fontId="49" fillId="0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44" fillId="0" borderId="7" xfId="4" applyFont="1" applyFill="1" applyBorder="1" applyAlignment="1">
      <alignment horizontal="center" vertical="center" wrapText="1"/>
    </xf>
  </cellXfs>
  <cellStyles count="7">
    <cellStyle name="Normal" xfId="0" builtinId="0"/>
    <cellStyle name="Normal 10" xfId="5"/>
    <cellStyle name="Normal 2" xfId="1"/>
    <cellStyle name="Normal 2 2" xfId="3"/>
    <cellStyle name="Normal 20" xfId="2"/>
    <cellStyle name="Normal 41 2" xfId="6"/>
    <cellStyle name="Normal 65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849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5262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058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7158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T%20LT\2018-19\HT%20LINES%20FY%2018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GM%20Oeration/HT%20LT/2017-18/HT%20Lines%20FY%2017-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%20opearation%201/Desktop/dec%2018/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Y%202022-23/HT%20LT%20Lines%20FY%202022-23/revised%20march%20HT%20LT%20lines%20%20forwarded%20to%20energy%20dept%2015.05.23/HT%20Lines%20FY%202022-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%20lines%20FY%2023-2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%20lines%20FY%2023-24%20Oct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dec 18"/>
      <sheetName val="jan 19"/>
      <sheetName val="feb 19"/>
      <sheetName val="mar 19"/>
      <sheetName val="ht"/>
      <sheetName val="Sheet1"/>
    </sheetNames>
    <sheetDataSet>
      <sheetData sheetId="0"/>
      <sheetData sheetId="1">
        <row r="49">
          <cell r="F49">
            <v>0</v>
          </cell>
          <cell r="L49">
            <v>0</v>
          </cell>
          <cell r="R49">
            <v>0</v>
          </cell>
        </row>
      </sheetData>
      <sheetData sheetId="2">
        <row r="49">
          <cell r="L49">
            <v>0</v>
          </cell>
          <cell r="R49">
            <v>0</v>
          </cell>
        </row>
      </sheetData>
      <sheetData sheetId="3">
        <row r="50">
          <cell r="L50">
            <v>0</v>
          </cell>
          <cell r="R50">
            <v>0</v>
          </cell>
        </row>
      </sheetData>
      <sheetData sheetId="4">
        <row r="50">
          <cell r="L50">
            <v>0</v>
          </cell>
        </row>
      </sheetData>
      <sheetData sheetId="5">
        <row r="50">
          <cell r="F50">
            <v>0</v>
          </cell>
        </row>
      </sheetData>
      <sheetData sheetId="6">
        <row r="50">
          <cell r="F50">
            <v>0</v>
          </cell>
          <cell r="L50">
            <v>0</v>
          </cell>
          <cell r="R50">
            <v>0</v>
          </cell>
        </row>
      </sheetData>
      <sheetData sheetId="7">
        <row r="50">
          <cell r="F50">
            <v>0</v>
          </cell>
          <cell r="L50">
            <v>0</v>
          </cell>
          <cell r="R50">
            <v>0</v>
          </cell>
        </row>
      </sheetData>
      <sheetData sheetId="8">
        <row r="50">
          <cell r="F50">
            <v>0</v>
          </cell>
          <cell r="L50">
            <v>0</v>
          </cell>
          <cell r="R50">
            <v>0</v>
          </cell>
        </row>
      </sheetData>
      <sheetData sheetId="9">
        <row r="50">
          <cell r="F50">
            <v>0</v>
          </cell>
          <cell r="L50">
            <v>0</v>
          </cell>
          <cell r="R50">
            <v>0</v>
          </cell>
        </row>
      </sheetData>
      <sheetData sheetId="10">
        <row r="50">
          <cell r="F50">
            <v>0</v>
          </cell>
          <cell r="L50">
            <v>0</v>
          </cell>
          <cell r="R50">
            <v>0</v>
          </cell>
        </row>
      </sheetData>
      <sheetData sheetId="11">
        <row r="50">
          <cell r="F50">
            <v>0</v>
          </cell>
          <cell r="L50">
            <v>0</v>
          </cell>
          <cell r="R50">
            <v>0</v>
          </cell>
        </row>
      </sheetData>
      <sheetData sheetId="12">
        <row r="50">
          <cell r="F50">
            <v>0</v>
          </cell>
          <cell r="L50">
            <v>0</v>
          </cell>
          <cell r="R50">
            <v>0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17"/>
      <sheetName val="April 17"/>
      <sheetName val="may 17"/>
      <sheetName val="June 17"/>
      <sheetName val="July 17"/>
      <sheetName val="aug 17"/>
      <sheetName val="sep 17"/>
      <sheetName val="oct 2017"/>
      <sheetName val="nov 17"/>
      <sheetName val="dec 17"/>
      <sheetName val="jan 18"/>
      <sheetName val="feb 18"/>
      <sheetName val="Mar 18"/>
      <sheetName val="rura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3">
          <cell r="J53">
            <v>96828.387300000002</v>
          </cell>
        </row>
      </sheetData>
      <sheetData sheetId="6" refreshError="1">
        <row r="51">
          <cell r="J51">
            <v>563.62499999999989</v>
          </cell>
        </row>
        <row r="53">
          <cell r="J53">
            <v>97392.012300000002</v>
          </cell>
        </row>
      </sheetData>
      <sheetData sheetId="7" refreshError="1">
        <row r="47">
          <cell r="K47">
            <v>196.75800000000001</v>
          </cell>
          <cell r="R47">
            <v>53.540000000000006</v>
          </cell>
        </row>
        <row r="51">
          <cell r="J51">
            <v>511.73900000000003</v>
          </cell>
        </row>
        <row r="53">
          <cell r="J53">
            <v>97908.988299999997</v>
          </cell>
        </row>
      </sheetData>
      <sheetData sheetId="8" refreshError="1">
        <row r="47">
          <cell r="J47">
            <v>32.905000000000001</v>
          </cell>
          <cell r="Q47">
            <v>9.44</v>
          </cell>
        </row>
        <row r="51">
          <cell r="J51">
            <v>672.19600000000014</v>
          </cell>
        </row>
        <row r="53">
          <cell r="J53">
            <v>98581.184299999994</v>
          </cell>
        </row>
      </sheetData>
      <sheetData sheetId="9" refreshError="1">
        <row r="51">
          <cell r="J51">
            <v>407.10399999999998</v>
          </cell>
        </row>
      </sheetData>
      <sheetData sheetId="10" refreshError="1"/>
      <sheetData sheetId="11" refreshError="1">
        <row r="54">
          <cell r="J54">
            <v>100283.96429999999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bmaz"/>
      <sheetName val="dec 18"/>
    </sheetNames>
    <sheetDataSet>
      <sheetData sheetId="0" refreshError="1">
        <row r="47">
          <cell r="H47">
            <v>94792.478299999988</v>
          </cell>
        </row>
      </sheetData>
      <sheetData sheetId="1" refreshError="1">
        <row r="48">
          <cell r="E48">
            <v>525.95000000000005</v>
          </cell>
          <cell r="K48">
            <v>17.23</v>
          </cell>
          <cell r="R48">
            <v>5.34</v>
          </cell>
        </row>
      </sheetData>
      <sheetData sheetId="2" refreshError="1">
        <row r="49">
          <cell r="D49">
            <v>631.39699999999993</v>
          </cell>
          <cell r="J49">
            <v>13.091999999999999</v>
          </cell>
          <cell r="Q49">
            <v>1.68</v>
          </cell>
        </row>
      </sheetData>
      <sheetData sheetId="3" refreshError="1"/>
      <sheetData sheetId="4" refreshError="1">
        <row r="51">
          <cell r="N51">
            <v>4962.2130000000006</v>
          </cell>
        </row>
        <row r="52">
          <cell r="N52">
            <v>0</v>
          </cell>
        </row>
      </sheetData>
      <sheetData sheetId="5" refreshError="1">
        <row r="51">
          <cell r="J51">
            <v>0</v>
          </cell>
          <cell r="L51">
            <v>0</v>
          </cell>
        </row>
        <row r="52">
          <cell r="J52">
            <v>0</v>
          </cell>
          <cell r="L52">
            <v>0</v>
          </cell>
        </row>
      </sheetData>
      <sheetData sheetId="6" refreshError="1">
        <row r="56">
          <cell r="J56">
            <v>104325.74429999999</v>
          </cell>
        </row>
      </sheetData>
      <sheetData sheetId="7" refreshError="1">
        <row r="54">
          <cell r="J54">
            <v>439.91400000000004</v>
          </cell>
        </row>
      </sheetData>
      <sheetData sheetId="8" refreshError="1">
        <row r="7">
          <cell r="E7">
            <v>0.64999999999999991</v>
          </cell>
        </row>
        <row r="51">
          <cell r="H51" t="e">
            <v>#REF!</v>
          </cell>
          <cell r="K51" t="e">
            <v>#REF!</v>
          </cell>
        </row>
        <row r="52">
          <cell r="H52" t="e">
            <v>#REF!</v>
          </cell>
          <cell r="K52" t="e">
            <v>#REF!</v>
          </cell>
        </row>
        <row r="56">
          <cell r="J56">
            <v>105296.85729999999</v>
          </cell>
        </row>
      </sheetData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2"/>
      <sheetName val="April 2022 "/>
      <sheetName val="May 2022"/>
      <sheetName val="June 2022"/>
      <sheetName val="July 2022"/>
      <sheetName val="Aug 2022  "/>
      <sheetName val="Sep 2022"/>
      <sheetName val="Oct 2022"/>
      <sheetName val="Nov 2022"/>
      <sheetName val="Dec 2022"/>
      <sheetName val="Jan 2023"/>
      <sheetName val="Feb 2023"/>
      <sheetName val="March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E7">
            <v>0</v>
          </cell>
          <cell r="G7">
            <v>82.86</v>
          </cell>
          <cell r="H7">
            <v>7.179999999999982</v>
          </cell>
          <cell r="K7">
            <v>116.00499999999998</v>
          </cell>
          <cell r="M7">
            <v>0</v>
          </cell>
          <cell r="N7">
            <v>700.22199999999975</v>
          </cell>
          <cell r="Q7">
            <v>0</v>
          </cell>
          <cell r="S7">
            <v>1.01</v>
          </cell>
          <cell r="T7">
            <v>8.436000000000007</v>
          </cell>
        </row>
        <row r="8">
          <cell r="E8">
            <v>0.06</v>
          </cell>
          <cell r="G8">
            <v>0</v>
          </cell>
          <cell r="H8">
            <v>265.44999999999993</v>
          </cell>
          <cell r="K8">
            <v>78.290999999999997</v>
          </cell>
          <cell r="M8">
            <v>0</v>
          </cell>
          <cell r="N8">
            <v>390.27100000000007</v>
          </cell>
          <cell r="Q8">
            <v>0</v>
          </cell>
          <cell r="S8">
            <v>0</v>
          </cell>
          <cell r="T8">
            <v>66.290000000000006</v>
          </cell>
        </row>
        <row r="9">
          <cell r="E9">
            <v>0</v>
          </cell>
          <cell r="G9">
            <v>0</v>
          </cell>
          <cell r="H9">
            <v>209.16</v>
          </cell>
          <cell r="K9">
            <v>198.85999999999996</v>
          </cell>
          <cell r="M9">
            <v>0</v>
          </cell>
          <cell r="N9">
            <v>899.88800000000003</v>
          </cell>
          <cell r="Q9">
            <v>0</v>
          </cell>
          <cell r="S9">
            <v>0</v>
          </cell>
          <cell r="T9">
            <v>44.739999999999995</v>
          </cell>
        </row>
        <row r="10">
          <cell r="E10">
            <v>0</v>
          </cell>
          <cell r="G10">
            <v>0</v>
          </cell>
          <cell r="H10">
            <v>0</v>
          </cell>
          <cell r="K10">
            <v>19.968000000000004</v>
          </cell>
          <cell r="M10">
            <v>0</v>
          </cell>
          <cell r="N10">
            <v>362.3429999999999</v>
          </cell>
          <cell r="Q10">
            <v>0</v>
          </cell>
          <cell r="S10">
            <v>0</v>
          </cell>
          <cell r="T10">
            <v>0.20000000000000007</v>
          </cell>
        </row>
        <row r="12">
          <cell r="E12">
            <v>0</v>
          </cell>
          <cell r="G12">
            <v>333.13</v>
          </cell>
          <cell r="H12">
            <v>22.179999999999609</v>
          </cell>
          <cell r="K12">
            <v>469.44999999999993</v>
          </cell>
          <cell r="M12">
            <v>0</v>
          </cell>
          <cell r="N12">
            <v>1274.1549999999997</v>
          </cell>
          <cell r="Q12">
            <v>2.11</v>
          </cell>
          <cell r="S12">
            <v>36.99</v>
          </cell>
          <cell r="T12">
            <v>1.9700000000000095</v>
          </cell>
        </row>
        <row r="13">
          <cell r="E13">
            <v>0</v>
          </cell>
          <cell r="G13">
            <v>0</v>
          </cell>
          <cell r="H13">
            <v>312.23000000000013</v>
          </cell>
          <cell r="K13">
            <v>16.28</v>
          </cell>
          <cell r="M13">
            <v>0.7</v>
          </cell>
          <cell r="N13">
            <v>544.11200000000019</v>
          </cell>
          <cell r="Q13">
            <v>0</v>
          </cell>
          <cell r="S13">
            <v>0</v>
          </cell>
          <cell r="T13">
            <v>68.39</v>
          </cell>
        </row>
        <row r="14">
          <cell r="E14">
            <v>0</v>
          </cell>
          <cell r="G14">
            <v>0</v>
          </cell>
          <cell r="H14">
            <v>1216.4399999999994</v>
          </cell>
          <cell r="K14">
            <v>36.519999999999996</v>
          </cell>
          <cell r="M14">
            <v>0</v>
          </cell>
          <cell r="N14">
            <v>901.30800000000022</v>
          </cell>
          <cell r="Q14">
            <v>0</v>
          </cell>
          <cell r="S14">
            <v>0</v>
          </cell>
          <cell r="T14">
            <v>61.329999999999991</v>
          </cell>
        </row>
        <row r="16">
          <cell r="E16">
            <v>9.5100000000000016</v>
          </cell>
          <cell r="G16">
            <v>243.73</v>
          </cell>
          <cell r="H16">
            <v>759.62400000000036</v>
          </cell>
          <cell r="K16">
            <v>277.43999999999994</v>
          </cell>
          <cell r="M16">
            <v>0</v>
          </cell>
          <cell r="N16">
            <v>576.4860000000001</v>
          </cell>
          <cell r="Q16">
            <v>0.03</v>
          </cell>
          <cell r="S16">
            <v>0</v>
          </cell>
          <cell r="T16">
            <v>177.44200000000004</v>
          </cell>
        </row>
        <row r="17">
          <cell r="E17">
            <v>0</v>
          </cell>
          <cell r="G17">
            <v>3.74</v>
          </cell>
          <cell r="H17">
            <v>2.6759999999999478</v>
          </cell>
          <cell r="K17">
            <v>74.740000000000009</v>
          </cell>
          <cell r="M17">
            <v>0</v>
          </cell>
          <cell r="N17">
            <v>586.49</v>
          </cell>
          <cell r="Q17">
            <v>1.3399999999999999</v>
          </cell>
          <cell r="S17">
            <v>5.72</v>
          </cell>
          <cell r="T17">
            <v>1.9500000000000002</v>
          </cell>
        </row>
        <row r="18">
          <cell r="E18">
            <v>1.4000000000000001</v>
          </cell>
          <cell r="G18">
            <v>46.86</v>
          </cell>
          <cell r="H18">
            <v>90.316000000000145</v>
          </cell>
          <cell r="K18">
            <v>132.07999999999998</v>
          </cell>
          <cell r="M18">
            <v>0.34</v>
          </cell>
          <cell r="N18">
            <v>617.27700000000004</v>
          </cell>
          <cell r="Q18">
            <v>0.89999999999999991</v>
          </cell>
          <cell r="S18">
            <v>4.08</v>
          </cell>
          <cell r="T18">
            <v>35.689999999999991</v>
          </cell>
        </row>
        <row r="20">
          <cell r="E20">
            <v>1.77</v>
          </cell>
          <cell r="G20">
            <v>24.91</v>
          </cell>
          <cell r="H20">
            <v>607.42999999999984</v>
          </cell>
          <cell r="K20">
            <v>337.74</v>
          </cell>
          <cell r="M20">
            <v>1.04</v>
          </cell>
          <cell r="N20">
            <v>735.88800000000026</v>
          </cell>
          <cell r="Q20">
            <v>0</v>
          </cell>
          <cell r="S20">
            <v>2.77</v>
          </cell>
          <cell r="T20">
            <v>37.580000000000005</v>
          </cell>
        </row>
        <row r="21">
          <cell r="E21">
            <v>0</v>
          </cell>
          <cell r="G21">
            <v>20.440000000000001</v>
          </cell>
          <cell r="H21">
            <v>2.0700000000000003</v>
          </cell>
          <cell r="K21">
            <v>62.14</v>
          </cell>
          <cell r="M21">
            <v>0</v>
          </cell>
          <cell r="N21">
            <v>460.25700000000006</v>
          </cell>
          <cell r="Q21">
            <v>0.12</v>
          </cell>
          <cell r="S21">
            <v>1.2</v>
          </cell>
          <cell r="T21">
            <v>18.289999999999996</v>
          </cell>
        </row>
        <row r="22">
          <cell r="E22">
            <v>0</v>
          </cell>
          <cell r="G22">
            <v>0</v>
          </cell>
          <cell r="H22">
            <v>22.430000000000021</v>
          </cell>
          <cell r="K22">
            <v>9.0299999999999976</v>
          </cell>
          <cell r="M22">
            <v>0.08</v>
          </cell>
          <cell r="N22">
            <v>697.92000000000019</v>
          </cell>
          <cell r="Q22">
            <v>0</v>
          </cell>
          <cell r="S22">
            <v>0</v>
          </cell>
          <cell r="T22">
            <v>0.60000000000000098</v>
          </cell>
        </row>
        <row r="23">
          <cell r="E23">
            <v>3.4</v>
          </cell>
          <cell r="G23">
            <v>0</v>
          </cell>
          <cell r="H23">
            <v>430.64</v>
          </cell>
          <cell r="K23">
            <v>35.950000000000003</v>
          </cell>
          <cell r="M23">
            <v>0</v>
          </cell>
          <cell r="N23">
            <v>137.83499999999998</v>
          </cell>
          <cell r="Q23">
            <v>0</v>
          </cell>
          <cell r="S23">
            <v>0</v>
          </cell>
          <cell r="T23">
            <v>22.5</v>
          </cell>
        </row>
        <row r="26">
          <cell r="E26">
            <v>53.259999999999991</v>
          </cell>
          <cell r="G26">
            <v>0</v>
          </cell>
          <cell r="H26">
            <v>1606.24</v>
          </cell>
          <cell r="K26">
            <v>51.61</v>
          </cell>
          <cell r="M26">
            <v>0</v>
          </cell>
          <cell r="N26">
            <v>118.94</v>
          </cell>
          <cell r="Q26">
            <v>0.26</v>
          </cell>
          <cell r="S26">
            <v>0</v>
          </cell>
          <cell r="T26">
            <v>16.369999999999997</v>
          </cell>
        </row>
        <row r="27">
          <cell r="E27">
            <v>100.96</v>
          </cell>
          <cell r="G27">
            <v>0</v>
          </cell>
          <cell r="H27">
            <v>5677.6650000000045</v>
          </cell>
          <cell r="K27">
            <v>28.700000000000003</v>
          </cell>
          <cell r="M27">
            <v>0</v>
          </cell>
          <cell r="N27">
            <v>622.88799999999992</v>
          </cell>
          <cell r="Q27">
            <v>0.27</v>
          </cell>
          <cell r="S27">
            <v>0</v>
          </cell>
          <cell r="T27">
            <v>33.760000000000005</v>
          </cell>
        </row>
        <row r="29">
          <cell r="E29">
            <v>225.87</v>
          </cell>
          <cell r="G29">
            <v>0</v>
          </cell>
          <cell r="H29">
            <v>4879.3380000000006</v>
          </cell>
          <cell r="K29">
            <v>2.14</v>
          </cell>
          <cell r="M29">
            <v>0</v>
          </cell>
          <cell r="N29">
            <v>121.53000000000002</v>
          </cell>
          <cell r="Q29">
            <v>0</v>
          </cell>
          <cell r="S29">
            <v>23.2</v>
          </cell>
          <cell r="T29">
            <v>34.52000000000001</v>
          </cell>
        </row>
        <row r="30">
          <cell r="E30">
            <v>81.610000000000014</v>
          </cell>
          <cell r="G30">
            <v>0</v>
          </cell>
          <cell r="H30">
            <v>3693.9499999999994</v>
          </cell>
          <cell r="K30">
            <v>88</v>
          </cell>
          <cell r="M30">
            <v>0</v>
          </cell>
          <cell r="N30">
            <v>198.58699999999999</v>
          </cell>
          <cell r="Q30">
            <v>0</v>
          </cell>
          <cell r="S30">
            <v>0</v>
          </cell>
          <cell r="T30">
            <v>23.25</v>
          </cell>
        </row>
        <row r="31">
          <cell r="E31">
            <v>32.708000000000006</v>
          </cell>
          <cell r="G31">
            <v>0</v>
          </cell>
          <cell r="H31">
            <v>4698.2870000000012</v>
          </cell>
          <cell r="K31">
            <v>0.06</v>
          </cell>
          <cell r="M31">
            <v>0</v>
          </cell>
          <cell r="N31">
            <v>107.69000000000003</v>
          </cell>
          <cell r="Q31">
            <v>0</v>
          </cell>
          <cell r="S31">
            <v>0</v>
          </cell>
          <cell r="T31">
            <v>14.850000000000001</v>
          </cell>
        </row>
        <row r="32">
          <cell r="E32">
            <v>27.320000000000004</v>
          </cell>
          <cell r="G32">
            <v>0</v>
          </cell>
          <cell r="H32">
            <v>2370.1757999999991</v>
          </cell>
          <cell r="K32">
            <v>7.12</v>
          </cell>
          <cell r="M32">
            <v>0</v>
          </cell>
          <cell r="N32">
            <v>89.88600000000001</v>
          </cell>
          <cell r="Q32">
            <v>0</v>
          </cell>
          <cell r="S32">
            <v>0</v>
          </cell>
          <cell r="T32">
            <v>67.551999999999992</v>
          </cell>
        </row>
        <row r="34">
          <cell r="E34">
            <v>154.36999999999998</v>
          </cell>
          <cell r="G34">
            <v>9.89</v>
          </cell>
          <cell r="H34">
            <v>4583.58</v>
          </cell>
          <cell r="K34">
            <v>108.07999999999998</v>
          </cell>
          <cell r="M34">
            <v>0</v>
          </cell>
          <cell r="N34">
            <v>108.07999999999998</v>
          </cell>
          <cell r="Q34">
            <v>72.7</v>
          </cell>
          <cell r="S34">
            <v>0</v>
          </cell>
          <cell r="T34">
            <v>72.7</v>
          </cell>
        </row>
        <row r="35">
          <cell r="E35">
            <v>432.62</v>
          </cell>
          <cell r="G35">
            <v>0</v>
          </cell>
          <cell r="H35">
            <v>6642.199999999998</v>
          </cell>
          <cell r="K35">
            <v>27.21</v>
          </cell>
          <cell r="M35">
            <v>0</v>
          </cell>
          <cell r="N35">
            <v>34.130000000000003</v>
          </cell>
          <cell r="Q35">
            <v>32.380000000000003</v>
          </cell>
          <cell r="S35">
            <v>0</v>
          </cell>
          <cell r="T35">
            <v>90.800000000000011</v>
          </cell>
        </row>
        <row r="36">
          <cell r="E36">
            <v>221.32</v>
          </cell>
          <cell r="G36">
            <v>0</v>
          </cell>
          <cell r="H36">
            <v>3672.42</v>
          </cell>
          <cell r="K36">
            <v>5.2</v>
          </cell>
          <cell r="M36">
            <v>4.63</v>
          </cell>
          <cell r="N36">
            <v>30.250000000000039</v>
          </cell>
          <cell r="Q36">
            <v>19.29</v>
          </cell>
          <cell r="S36">
            <v>0</v>
          </cell>
          <cell r="T36">
            <v>36.379999999999995</v>
          </cell>
        </row>
        <row r="37">
          <cell r="E37">
            <v>293.13000000000005</v>
          </cell>
          <cell r="G37">
            <v>0</v>
          </cell>
          <cell r="H37">
            <v>5081.2499999999982</v>
          </cell>
          <cell r="K37">
            <v>14.27</v>
          </cell>
          <cell r="M37">
            <v>1.06</v>
          </cell>
          <cell r="N37">
            <v>26.700000000000003</v>
          </cell>
          <cell r="Q37">
            <v>0</v>
          </cell>
          <cell r="S37">
            <v>3.46</v>
          </cell>
          <cell r="T37">
            <v>3.0599999999999996</v>
          </cell>
        </row>
        <row r="40">
          <cell r="E40">
            <v>439.27</v>
          </cell>
          <cell r="G40">
            <v>0</v>
          </cell>
          <cell r="H40">
            <v>11829.713999999998</v>
          </cell>
          <cell r="K40">
            <v>0</v>
          </cell>
          <cell r="M40">
            <v>0</v>
          </cell>
          <cell r="N40">
            <v>198.73</v>
          </cell>
          <cell r="Q40">
            <v>106.93</v>
          </cell>
          <cell r="S40">
            <v>0</v>
          </cell>
          <cell r="T40">
            <v>106.93</v>
          </cell>
        </row>
        <row r="41">
          <cell r="E41">
            <v>894.10200000000009</v>
          </cell>
          <cell r="G41">
            <v>0</v>
          </cell>
          <cell r="H41">
            <v>8392.1389999999938</v>
          </cell>
          <cell r="K41">
            <v>0</v>
          </cell>
          <cell r="M41">
            <v>0</v>
          </cell>
          <cell r="N41">
            <v>8.67</v>
          </cell>
          <cell r="Q41">
            <v>141.29000000000002</v>
          </cell>
          <cell r="S41">
            <v>0</v>
          </cell>
          <cell r="T41">
            <v>141.29000000000002</v>
          </cell>
        </row>
        <row r="42">
          <cell r="E42">
            <v>105.99400000000001</v>
          </cell>
          <cell r="G42">
            <v>0</v>
          </cell>
          <cell r="H42">
            <v>13911.432999999995</v>
          </cell>
          <cell r="K42">
            <v>0</v>
          </cell>
          <cell r="M42">
            <v>0</v>
          </cell>
          <cell r="N42">
            <v>15.62</v>
          </cell>
          <cell r="Q42">
            <v>166.33</v>
          </cell>
          <cell r="S42">
            <v>0</v>
          </cell>
          <cell r="T42">
            <v>205.35</v>
          </cell>
        </row>
        <row r="43">
          <cell r="E43">
            <v>162.58000000000001</v>
          </cell>
          <cell r="G43">
            <v>0</v>
          </cell>
          <cell r="H43">
            <v>4130.0600000000013</v>
          </cell>
          <cell r="K43">
            <v>0</v>
          </cell>
          <cell r="M43">
            <v>0</v>
          </cell>
          <cell r="N43">
            <v>3.5</v>
          </cell>
          <cell r="Q43">
            <v>29.8</v>
          </cell>
          <cell r="S43">
            <v>0</v>
          </cell>
          <cell r="T43">
            <v>29.8</v>
          </cell>
        </row>
        <row r="45">
          <cell r="E45">
            <v>288.69</v>
          </cell>
          <cell r="G45">
            <v>0</v>
          </cell>
          <cell r="H45">
            <v>8340.6720999999998</v>
          </cell>
          <cell r="K45">
            <v>219.13</v>
          </cell>
          <cell r="M45">
            <v>0</v>
          </cell>
          <cell r="N45">
            <v>261.04999999999995</v>
          </cell>
          <cell r="Q45">
            <v>69.64</v>
          </cell>
          <cell r="S45">
            <v>0</v>
          </cell>
          <cell r="T45">
            <v>84.39</v>
          </cell>
        </row>
        <row r="46">
          <cell r="E46">
            <v>174.05</v>
          </cell>
          <cell r="G46">
            <v>0</v>
          </cell>
          <cell r="H46">
            <v>7912.5450000000019</v>
          </cell>
          <cell r="K46">
            <v>0</v>
          </cell>
          <cell r="M46">
            <v>0</v>
          </cell>
          <cell r="N46">
            <v>0</v>
          </cell>
          <cell r="Q46">
            <v>47.03</v>
          </cell>
          <cell r="S46">
            <v>0</v>
          </cell>
          <cell r="T46">
            <v>47.03</v>
          </cell>
        </row>
        <row r="47">
          <cell r="E47">
            <v>248.41000000000003</v>
          </cell>
          <cell r="G47">
            <v>0</v>
          </cell>
          <cell r="H47">
            <v>9033.0499999999975</v>
          </cell>
          <cell r="K47">
            <v>0</v>
          </cell>
          <cell r="M47">
            <v>0</v>
          </cell>
          <cell r="N47">
            <v>3.13</v>
          </cell>
          <cell r="Q47">
            <v>118.91999999999999</v>
          </cell>
          <cell r="S47">
            <v>0</v>
          </cell>
          <cell r="T47">
            <v>118.94999999999999</v>
          </cell>
        </row>
        <row r="48">
          <cell r="E48">
            <v>400.60999999999996</v>
          </cell>
          <cell r="G48">
            <v>0</v>
          </cell>
          <cell r="H48">
            <v>8597.3989999999976</v>
          </cell>
          <cell r="K48">
            <v>0</v>
          </cell>
          <cell r="M48">
            <v>0</v>
          </cell>
          <cell r="N48">
            <v>5.0249999999999995</v>
          </cell>
          <cell r="Q48">
            <v>4.21</v>
          </cell>
          <cell r="S48">
            <v>0</v>
          </cell>
          <cell r="T48">
            <v>4.21</v>
          </cell>
        </row>
      </sheetData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3"/>
      <sheetName val="April 2023"/>
      <sheetName val="May 23"/>
      <sheetName val="June 23"/>
      <sheetName val="July 2023"/>
      <sheetName val="Aug 2023"/>
      <sheetName val="Sep 2023"/>
    </sheetNames>
    <sheetDataSet>
      <sheetData sheetId="0">
        <row r="7">
          <cell r="D7">
            <v>0</v>
          </cell>
          <cell r="F7">
            <v>0</v>
          </cell>
          <cell r="J7">
            <v>14.234999999999999</v>
          </cell>
          <cell r="L7">
            <v>0</v>
          </cell>
          <cell r="P7">
            <v>0</v>
          </cell>
          <cell r="R7">
            <v>0</v>
          </cell>
        </row>
        <row r="8">
          <cell r="D8">
            <v>0.54</v>
          </cell>
          <cell r="F8">
            <v>0</v>
          </cell>
          <cell r="J8">
            <v>7.875</v>
          </cell>
          <cell r="L8">
            <v>0</v>
          </cell>
          <cell r="P8">
            <v>0</v>
          </cell>
          <cell r="R8">
            <v>0</v>
          </cell>
        </row>
        <row r="9">
          <cell r="D9">
            <v>0</v>
          </cell>
          <cell r="F9">
            <v>0</v>
          </cell>
          <cell r="J9">
            <v>3.36</v>
          </cell>
          <cell r="L9">
            <v>0</v>
          </cell>
          <cell r="P9">
            <v>0</v>
          </cell>
          <cell r="R9">
            <v>0</v>
          </cell>
        </row>
        <row r="10">
          <cell r="D10">
            <v>0</v>
          </cell>
          <cell r="F10">
            <v>0</v>
          </cell>
          <cell r="J10">
            <v>2.63</v>
          </cell>
          <cell r="L10">
            <v>0</v>
          </cell>
          <cell r="P10">
            <v>0</v>
          </cell>
          <cell r="R10">
            <v>0</v>
          </cell>
        </row>
        <row r="12">
          <cell r="D12">
            <v>0</v>
          </cell>
          <cell r="F12">
            <v>0</v>
          </cell>
          <cell r="J12">
            <v>2.2799999999999998</v>
          </cell>
          <cell r="L12">
            <v>0</v>
          </cell>
          <cell r="P12">
            <v>0</v>
          </cell>
          <cell r="R12">
            <v>0</v>
          </cell>
        </row>
        <row r="13">
          <cell r="D13">
            <v>0</v>
          </cell>
          <cell r="F13">
            <v>0</v>
          </cell>
          <cell r="J13">
            <v>1.42</v>
          </cell>
          <cell r="L13">
            <v>0</v>
          </cell>
          <cell r="P13">
            <v>0</v>
          </cell>
          <cell r="R13">
            <v>0</v>
          </cell>
        </row>
        <row r="14">
          <cell r="D14">
            <v>0</v>
          </cell>
          <cell r="F14">
            <v>0</v>
          </cell>
          <cell r="J14">
            <v>2.19</v>
          </cell>
          <cell r="L14">
            <v>0</v>
          </cell>
          <cell r="P14">
            <v>0</v>
          </cell>
          <cell r="R14">
            <v>0</v>
          </cell>
        </row>
        <row r="16">
          <cell r="D16">
            <v>0.55000000000000004</v>
          </cell>
          <cell r="F16">
            <v>4.01</v>
          </cell>
          <cell r="J16">
            <v>0.49</v>
          </cell>
          <cell r="L16">
            <v>0</v>
          </cell>
          <cell r="P16">
            <v>0</v>
          </cell>
          <cell r="R16">
            <v>0</v>
          </cell>
        </row>
        <row r="17">
          <cell r="D17">
            <v>0</v>
          </cell>
          <cell r="F17">
            <v>0</v>
          </cell>
          <cell r="J17">
            <v>2.63</v>
          </cell>
          <cell r="L17">
            <v>0</v>
          </cell>
          <cell r="P17">
            <v>0</v>
          </cell>
          <cell r="R17">
            <v>0</v>
          </cell>
        </row>
        <row r="18">
          <cell r="D18">
            <v>0.05</v>
          </cell>
          <cell r="F18">
            <v>0.1</v>
          </cell>
          <cell r="J18">
            <v>0.318</v>
          </cell>
          <cell r="L18">
            <v>0.3</v>
          </cell>
          <cell r="P18">
            <v>0</v>
          </cell>
          <cell r="R18">
            <v>0</v>
          </cell>
        </row>
        <row r="20">
          <cell r="D20">
            <v>0</v>
          </cell>
          <cell r="F20">
            <v>0</v>
          </cell>
          <cell r="J20">
            <v>12.52</v>
          </cell>
          <cell r="L20">
            <v>0</v>
          </cell>
          <cell r="P20">
            <v>0</v>
          </cell>
          <cell r="R20">
            <v>0</v>
          </cell>
        </row>
        <row r="21">
          <cell r="D21">
            <v>0</v>
          </cell>
          <cell r="F21">
            <v>0</v>
          </cell>
          <cell r="J21">
            <v>1.17</v>
          </cell>
          <cell r="L21">
            <v>0</v>
          </cell>
          <cell r="P21">
            <v>1.2</v>
          </cell>
          <cell r="R21">
            <v>0.6</v>
          </cell>
        </row>
        <row r="22">
          <cell r="D22">
            <v>0</v>
          </cell>
          <cell r="F22">
            <v>0</v>
          </cell>
          <cell r="J22">
            <v>0.3</v>
          </cell>
          <cell r="L22">
            <v>0</v>
          </cell>
          <cell r="P22">
            <v>0</v>
          </cell>
          <cell r="R22">
            <v>0</v>
          </cell>
        </row>
        <row r="23">
          <cell r="D23">
            <v>0</v>
          </cell>
          <cell r="F23">
            <v>0</v>
          </cell>
          <cell r="J23">
            <v>1.72</v>
          </cell>
          <cell r="L23">
            <v>0</v>
          </cell>
          <cell r="P23">
            <v>0</v>
          </cell>
          <cell r="R23">
            <v>0</v>
          </cell>
        </row>
        <row r="26">
          <cell r="D26">
            <v>22.05</v>
          </cell>
          <cell r="F26">
            <v>0</v>
          </cell>
          <cell r="J26">
            <v>2.61</v>
          </cell>
          <cell r="L26">
            <v>0</v>
          </cell>
          <cell r="P26">
            <v>0</v>
          </cell>
          <cell r="R26">
            <v>0</v>
          </cell>
        </row>
        <row r="27">
          <cell r="D27">
            <v>7.71</v>
          </cell>
          <cell r="F27">
            <v>0</v>
          </cell>
          <cell r="J27">
            <v>11.29</v>
          </cell>
          <cell r="L27">
            <v>0</v>
          </cell>
          <cell r="P27">
            <v>0.04</v>
          </cell>
          <cell r="R27">
            <v>0</v>
          </cell>
        </row>
        <row r="29">
          <cell r="D29">
            <v>1.7</v>
          </cell>
          <cell r="F29">
            <v>0</v>
          </cell>
          <cell r="J29">
            <v>0</v>
          </cell>
          <cell r="L29">
            <v>0</v>
          </cell>
          <cell r="P29">
            <v>0</v>
          </cell>
          <cell r="R29">
            <v>0</v>
          </cell>
        </row>
        <row r="30">
          <cell r="D30">
            <v>8.1999999999999993</v>
          </cell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4.2050000000000001</v>
          </cell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3.85</v>
          </cell>
          <cell r="F32">
            <v>0</v>
          </cell>
          <cell r="J32">
            <v>3.29</v>
          </cell>
          <cell r="L32">
            <v>0</v>
          </cell>
          <cell r="P32">
            <v>0</v>
          </cell>
          <cell r="R32">
            <v>0</v>
          </cell>
        </row>
        <row r="34">
          <cell r="D34">
            <v>3.17</v>
          </cell>
          <cell r="F34">
            <v>0</v>
          </cell>
          <cell r="J34">
            <v>0</v>
          </cell>
          <cell r="L34">
            <v>0</v>
          </cell>
          <cell r="P34">
            <v>0</v>
          </cell>
          <cell r="R34">
            <v>0</v>
          </cell>
        </row>
        <row r="35">
          <cell r="D35">
            <v>41.42</v>
          </cell>
          <cell r="F35">
            <v>0</v>
          </cell>
          <cell r="J35">
            <v>0</v>
          </cell>
          <cell r="L35">
            <v>0</v>
          </cell>
          <cell r="P35">
            <v>0</v>
          </cell>
          <cell r="R35">
            <v>0</v>
          </cell>
        </row>
        <row r="36">
          <cell r="D36">
            <v>25.24</v>
          </cell>
          <cell r="F36">
            <v>0</v>
          </cell>
          <cell r="J36">
            <v>0</v>
          </cell>
          <cell r="L36">
            <v>0</v>
          </cell>
          <cell r="P36">
            <v>0</v>
          </cell>
          <cell r="R36">
            <v>0</v>
          </cell>
        </row>
        <row r="37">
          <cell r="D37">
            <v>13.26</v>
          </cell>
          <cell r="F37">
            <v>0</v>
          </cell>
          <cell r="J37">
            <v>0</v>
          </cell>
          <cell r="L37">
            <v>0</v>
          </cell>
          <cell r="P37">
            <v>0</v>
          </cell>
          <cell r="R37">
            <v>0</v>
          </cell>
        </row>
        <row r="40">
          <cell r="D40">
            <v>27.91</v>
          </cell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D41">
            <v>55.260000000000005</v>
          </cell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D42">
            <v>42.24</v>
          </cell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D43">
            <v>71.900000000000006</v>
          </cell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D45">
            <v>23.14</v>
          </cell>
          <cell r="F45">
            <v>0</v>
          </cell>
          <cell r="J45">
            <v>0</v>
          </cell>
          <cell r="L45">
            <v>0</v>
          </cell>
          <cell r="P45">
            <v>0</v>
          </cell>
          <cell r="R45">
            <v>0</v>
          </cell>
        </row>
        <row r="46">
          <cell r="D46">
            <v>34.69</v>
          </cell>
          <cell r="F46">
            <v>0</v>
          </cell>
          <cell r="J46">
            <v>0</v>
          </cell>
          <cell r="L46">
            <v>0</v>
          </cell>
          <cell r="P46">
            <v>0</v>
          </cell>
          <cell r="R46">
            <v>0</v>
          </cell>
        </row>
        <row r="47">
          <cell r="D47">
            <v>44.65</v>
          </cell>
          <cell r="F47">
            <v>0</v>
          </cell>
          <cell r="J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D48">
            <v>8.5500000000000007</v>
          </cell>
          <cell r="F48">
            <v>0</v>
          </cell>
          <cell r="J48">
            <v>0</v>
          </cell>
          <cell r="L48">
            <v>0</v>
          </cell>
          <cell r="P48">
            <v>0</v>
          </cell>
          <cell r="R48">
            <v>0</v>
          </cell>
        </row>
      </sheetData>
      <sheetData sheetId="1">
        <row r="7">
          <cell r="E7">
            <v>0</v>
          </cell>
          <cell r="G7">
            <v>0</v>
          </cell>
          <cell r="K7">
            <v>3.2850000000000001</v>
          </cell>
          <cell r="M7">
            <v>0</v>
          </cell>
          <cell r="Q7">
            <v>0</v>
          </cell>
          <cell r="S7">
            <v>0</v>
          </cell>
        </row>
        <row r="8">
          <cell r="E8">
            <v>0</v>
          </cell>
          <cell r="G8">
            <v>0</v>
          </cell>
          <cell r="K8">
            <v>4.1050000000000004</v>
          </cell>
          <cell r="M8">
            <v>0</v>
          </cell>
          <cell r="Q8">
            <v>0</v>
          </cell>
          <cell r="S8">
            <v>0</v>
          </cell>
        </row>
        <row r="9">
          <cell r="E9">
            <v>0</v>
          </cell>
          <cell r="G9">
            <v>0</v>
          </cell>
          <cell r="K9">
            <v>5.56</v>
          </cell>
          <cell r="M9">
            <v>0</v>
          </cell>
          <cell r="Q9">
            <v>0</v>
          </cell>
          <cell r="S9">
            <v>0</v>
          </cell>
        </row>
        <row r="10">
          <cell r="E10">
            <v>0</v>
          </cell>
          <cell r="G10">
            <v>0</v>
          </cell>
          <cell r="K10">
            <v>1.0960000000000001</v>
          </cell>
          <cell r="M10">
            <v>0</v>
          </cell>
          <cell r="Q10">
            <v>0</v>
          </cell>
          <cell r="S10">
            <v>0</v>
          </cell>
        </row>
        <row r="12">
          <cell r="E12">
            <v>0</v>
          </cell>
          <cell r="G12">
            <v>0</v>
          </cell>
          <cell r="K12">
            <v>2.41</v>
          </cell>
          <cell r="M12">
            <v>0</v>
          </cell>
          <cell r="Q12">
            <v>0</v>
          </cell>
          <cell r="S12">
            <v>0</v>
          </cell>
        </row>
        <row r="13">
          <cell r="E13">
            <v>0</v>
          </cell>
          <cell r="G13">
            <v>0</v>
          </cell>
          <cell r="K13">
            <v>1.85</v>
          </cell>
          <cell r="M13">
            <v>0</v>
          </cell>
          <cell r="Q13">
            <v>0</v>
          </cell>
          <cell r="S13">
            <v>0</v>
          </cell>
        </row>
        <row r="14">
          <cell r="E14">
            <v>0</v>
          </cell>
          <cell r="G14">
            <v>0</v>
          </cell>
          <cell r="K14">
            <v>9.61</v>
          </cell>
          <cell r="M14">
            <v>0</v>
          </cell>
          <cell r="Q14">
            <v>0</v>
          </cell>
          <cell r="S14">
            <v>0</v>
          </cell>
        </row>
        <row r="16">
          <cell r="E16">
            <v>0.42</v>
          </cell>
          <cell r="G16">
            <v>4.2300000000000004</v>
          </cell>
          <cell r="K16">
            <v>0.45</v>
          </cell>
          <cell r="M16">
            <v>0</v>
          </cell>
          <cell r="Q16">
            <v>0.03</v>
          </cell>
          <cell r="S16">
            <v>0</v>
          </cell>
        </row>
        <row r="17">
          <cell r="E17">
            <v>0</v>
          </cell>
          <cell r="G17">
            <v>0</v>
          </cell>
          <cell r="K17">
            <v>5.93</v>
          </cell>
          <cell r="M17">
            <v>0</v>
          </cell>
          <cell r="Q17">
            <v>0</v>
          </cell>
          <cell r="S17">
            <v>0</v>
          </cell>
        </row>
        <row r="18">
          <cell r="E18">
            <v>0.05</v>
          </cell>
          <cell r="G18">
            <v>0.05</v>
          </cell>
          <cell r="K18">
            <v>2.5549999999999997</v>
          </cell>
          <cell r="M18">
            <v>0</v>
          </cell>
          <cell r="Q18">
            <v>0</v>
          </cell>
          <cell r="S18">
            <v>0</v>
          </cell>
        </row>
        <row r="20">
          <cell r="E20">
            <v>0</v>
          </cell>
          <cell r="G20">
            <v>0</v>
          </cell>
          <cell r="K20">
            <v>0.74</v>
          </cell>
          <cell r="M20">
            <v>0.02</v>
          </cell>
          <cell r="Q20">
            <v>0</v>
          </cell>
          <cell r="S20">
            <v>0</v>
          </cell>
        </row>
        <row r="21">
          <cell r="E21">
            <v>0</v>
          </cell>
          <cell r="G21">
            <v>0</v>
          </cell>
          <cell r="K21">
            <v>0.35</v>
          </cell>
          <cell r="M21">
            <v>0.02</v>
          </cell>
          <cell r="Q21">
            <v>0</v>
          </cell>
          <cell r="S21">
            <v>0</v>
          </cell>
        </row>
        <row r="22">
          <cell r="E22">
            <v>0</v>
          </cell>
          <cell r="G22">
            <v>0</v>
          </cell>
          <cell r="K22">
            <v>0.33</v>
          </cell>
          <cell r="M22">
            <v>0</v>
          </cell>
          <cell r="Q22">
            <v>0</v>
          </cell>
          <cell r="S22">
            <v>0</v>
          </cell>
        </row>
        <row r="23">
          <cell r="E23">
            <v>0</v>
          </cell>
          <cell r="G23">
            <v>0</v>
          </cell>
          <cell r="K23">
            <v>0.74</v>
          </cell>
          <cell r="M23">
            <v>0</v>
          </cell>
          <cell r="Q23">
            <v>0</v>
          </cell>
          <cell r="S23">
            <v>0</v>
          </cell>
        </row>
        <row r="26">
          <cell r="E26">
            <v>5.48</v>
          </cell>
          <cell r="G26">
            <v>0</v>
          </cell>
          <cell r="K26">
            <v>0.62</v>
          </cell>
          <cell r="M26">
            <v>0</v>
          </cell>
          <cell r="Q26">
            <v>0</v>
          </cell>
          <cell r="S26">
            <v>0</v>
          </cell>
        </row>
        <row r="27">
          <cell r="E27">
            <v>7.76</v>
          </cell>
          <cell r="G27">
            <v>0.02</v>
          </cell>
          <cell r="K27">
            <v>0.57999999999999996</v>
          </cell>
          <cell r="M27">
            <v>0.02</v>
          </cell>
          <cell r="Q27">
            <v>0</v>
          </cell>
          <cell r="S27">
            <v>0</v>
          </cell>
        </row>
        <row r="29">
          <cell r="E29">
            <v>128.63999999999999</v>
          </cell>
          <cell r="G29">
            <v>0</v>
          </cell>
          <cell r="K29">
            <v>0.06</v>
          </cell>
          <cell r="M29">
            <v>0</v>
          </cell>
          <cell r="Q29">
            <v>0</v>
          </cell>
          <cell r="S29">
            <v>0</v>
          </cell>
        </row>
        <row r="30">
          <cell r="E30">
            <v>7.18</v>
          </cell>
          <cell r="G30">
            <v>0</v>
          </cell>
          <cell r="K30">
            <v>0</v>
          </cell>
          <cell r="M30">
            <v>0</v>
          </cell>
          <cell r="Q30">
            <v>0</v>
          </cell>
          <cell r="S30">
            <v>0</v>
          </cell>
        </row>
        <row r="31">
          <cell r="E31">
            <v>0</v>
          </cell>
          <cell r="G31">
            <v>0</v>
          </cell>
          <cell r="K31">
            <v>0.20499999999999999</v>
          </cell>
          <cell r="M31">
            <v>0</v>
          </cell>
          <cell r="Q31">
            <v>0</v>
          </cell>
          <cell r="S31">
            <v>0</v>
          </cell>
        </row>
        <row r="32">
          <cell r="E32">
            <v>2.42</v>
          </cell>
          <cell r="G32">
            <v>9.73</v>
          </cell>
          <cell r="K32">
            <v>1.5580000000000001</v>
          </cell>
          <cell r="M32">
            <v>0</v>
          </cell>
          <cell r="Q32">
            <v>0</v>
          </cell>
          <cell r="S32">
            <v>0</v>
          </cell>
        </row>
        <row r="34">
          <cell r="E34">
            <v>9.98</v>
          </cell>
          <cell r="G34">
            <v>0</v>
          </cell>
          <cell r="K34">
            <v>0.09</v>
          </cell>
          <cell r="M34">
            <v>0</v>
          </cell>
          <cell r="Q34">
            <v>0</v>
          </cell>
          <cell r="S34">
            <v>0</v>
          </cell>
        </row>
        <row r="35">
          <cell r="E35">
            <v>21.5</v>
          </cell>
          <cell r="G35">
            <v>0</v>
          </cell>
          <cell r="K35">
            <v>0.04</v>
          </cell>
          <cell r="M35">
            <v>0</v>
          </cell>
          <cell r="Q35">
            <v>0</v>
          </cell>
          <cell r="S35">
            <v>0</v>
          </cell>
        </row>
        <row r="36">
          <cell r="E36">
            <v>2.5299999999999998</v>
          </cell>
          <cell r="G36">
            <v>0</v>
          </cell>
          <cell r="K36">
            <v>0</v>
          </cell>
          <cell r="M36">
            <v>0</v>
          </cell>
          <cell r="Q36">
            <v>0</v>
          </cell>
          <cell r="S36">
            <v>0</v>
          </cell>
        </row>
        <row r="37">
          <cell r="E37">
            <v>5.54</v>
          </cell>
          <cell r="G37">
            <v>0</v>
          </cell>
          <cell r="K37">
            <v>0</v>
          </cell>
          <cell r="M37">
            <v>0</v>
          </cell>
          <cell r="Q37">
            <v>0</v>
          </cell>
          <cell r="S37">
            <v>0</v>
          </cell>
        </row>
        <row r="40">
          <cell r="E40">
            <v>9</v>
          </cell>
          <cell r="G40">
            <v>0</v>
          </cell>
          <cell r="K40">
            <v>0</v>
          </cell>
          <cell r="M40">
            <v>0</v>
          </cell>
          <cell r="Q40">
            <v>0</v>
          </cell>
          <cell r="S40">
            <v>0</v>
          </cell>
        </row>
        <row r="41">
          <cell r="E41">
            <v>0.04</v>
          </cell>
          <cell r="G41">
            <v>0</v>
          </cell>
          <cell r="K41">
            <v>0</v>
          </cell>
          <cell r="M41">
            <v>0</v>
          </cell>
          <cell r="Q41">
            <v>0</v>
          </cell>
          <cell r="S41">
            <v>0</v>
          </cell>
        </row>
        <row r="42">
          <cell r="E42">
            <v>9.0299999999999994</v>
          </cell>
          <cell r="G42">
            <v>0</v>
          </cell>
          <cell r="K42">
            <v>0</v>
          </cell>
          <cell r="M42">
            <v>0</v>
          </cell>
          <cell r="Q42">
            <v>0</v>
          </cell>
          <cell r="S42">
            <v>0</v>
          </cell>
        </row>
        <row r="43">
          <cell r="E43">
            <v>13.98</v>
          </cell>
          <cell r="G43">
            <v>0</v>
          </cell>
          <cell r="K43">
            <v>0</v>
          </cell>
          <cell r="M43">
            <v>0</v>
          </cell>
          <cell r="Q43">
            <v>0</v>
          </cell>
          <cell r="S43">
            <v>0</v>
          </cell>
        </row>
        <row r="45">
          <cell r="E45">
            <v>32.049999999999997</v>
          </cell>
          <cell r="G45">
            <v>0</v>
          </cell>
          <cell r="K45">
            <v>0</v>
          </cell>
          <cell r="M45">
            <v>0</v>
          </cell>
          <cell r="Q45">
            <v>0.06</v>
          </cell>
          <cell r="S45">
            <v>0</v>
          </cell>
        </row>
        <row r="46">
          <cell r="E46">
            <v>51.660000000000004</v>
          </cell>
          <cell r="G46">
            <v>0</v>
          </cell>
          <cell r="K46">
            <v>0</v>
          </cell>
          <cell r="M46">
            <v>0</v>
          </cell>
          <cell r="Q46">
            <v>0</v>
          </cell>
          <cell r="S46">
            <v>0</v>
          </cell>
        </row>
        <row r="47">
          <cell r="E47">
            <v>246.56</v>
          </cell>
          <cell r="G47">
            <v>0</v>
          </cell>
          <cell r="K47">
            <v>0</v>
          </cell>
          <cell r="M47">
            <v>0</v>
          </cell>
          <cell r="Q47">
            <v>0</v>
          </cell>
          <cell r="S47">
            <v>0</v>
          </cell>
        </row>
        <row r="48">
          <cell r="E48">
            <v>32.18</v>
          </cell>
          <cell r="G48">
            <v>0</v>
          </cell>
          <cell r="K48">
            <v>0</v>
          </cell>
          <cell r="M48">
            <v>0</v>
          </cell>
          <cell r="Q48">
            <v>0</v>
          </cell>
          <cell r="S48">
            <v>0</v>
          </cell>
        </row>
      </sheetData>
      <sheetData sheetId="2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J7">
            <v>2.08</v>
          </cell>
          <cell r="K7">
            <v>5.3650000000000002</v>
          </cell>
          <cell r="L7">
            <v>0</v>
          </cell>
          <cell r="M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J8">
            <v>22.930000000000003</v>
          </cell>
          <cell r="K8">
            <v>27.035000000000004</v>
          </cell>
          <cell r="L8">
            <v>0</v>
          </cell>
          <cell r="M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J9">
            <v>5.8100000000000005</v>
          </cell>
          <cell r="K9">
            <v>11.370000000000001</v>
          </cell>
          <cell r="L9">
            <v>0</v>
          </cell>
          <cell r="M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J10">
            <v>0.65200000000000002</v>
          </cell>
          <cell r="K10">
            <v>1.7480000000000002</v>
          </cell>
          <cell r="L10">
            <v>0</v>
          </cell>
          <cell r="M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J12">
            <v>5.41</v>
          </cell>
          <cell r="K12">
            <v>7.82</v>
          </cell>
          <cell r="L12">
            <v>0</v>
          </cell>
          <cell r="M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J13">
            <v>2.3199999999999998</v>
          </cell>
          <cell r="K13">
            <v>4.17</v>
          </cell>
          <cell r="L13">
            <v>0</v>
          </cell>
          <cell r="M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J14">
            <v>3.44</v>
          </cell>
          <cell r="K14">
            <v>13.049999999999999</v>
          </cell>
          <cell r="L14">
            <v>0</v>
          </cell>
          <cell r="M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6">
          <cell r="D16">
            <v>0.32</v>
          </cell>
          <cell r="E16">
            <v>0.74</v>
          </cell>
          <cell r="F16">
            <v>0</v>
          </cell>
          <cell r="G16">
            <v>4.2300000000000004</v>
          </cell>
          <cell r="J16">
            <v>0.97</v>
          </cell>
          <cell r="K16">
            <v>1.42</v>
          </cell>
          <cell r="L16">
            <v>0</v>
          </cell>
          <cell r="M16">
            <v>0</v>
          </cell>
          <cell r="P16">
            <v>0.05</v>
          </cell>
          <cell r="Q16">
            <v>0.08</v>
          </cell>
          <cell r="R16">
            <v>0.03</v>
          </cell>
          <cell r="S16">
            <v>0.03</v>
          </cell>
        </row>
        <row r="17">
          <cell r="D17">
            <v>0.05</v>
          </cell>
          <cell r="E17">
            <v>0.05</v>
          </cell>
          <cell r="F17">
            <v>0</v>
          </cell>
          <cell r="G17">
            <v>0</v>
          </cell>
          <cell r="J17">
            <v>4.1900000000000004</v>
          </cell>
          <cell r="K17">
            <v>10.120000000000001</v>
          </cell>
          <cell r="L17">
            <v>0.43</v>
          </cell>
          <cell r="M17">
            <v>0.43</v>
          </cell>
          <cell r="P17">
            <v>1.22</v>
          </cell>
          <cell r="Q17">
            <v>1.22</v>
          </cell>
          <cell r="R17">
            <v>0.43</v>
          </cell>
          <cell r="S17">
            <v>0.43</v>
          </cell>
        </row>
        <row r="18">
          <cell r="D18">
            <v>0</v>
          </cell>
          <cell r="E18">
            <v>0.05</v>
          </cell>
          <cell r="F18">
            <v>0</v>
          </cell>
          <cell r="G18">
            <v>0.05</v>
          </cell>
          <cell r="J18">
            <v>0.24</v>
          </cell>
          <cell r="K18">
            <v>2.7949999999999999</v>
          </cell>
          <cell r="L18">
            <v>0</v>
          </cell>
          <cell r="M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1.78</v>
          </cell>
          <cell r="K20">
            <v>2.52</v>
          </cell>
          <cell r="L20">
            <v>0</v>
          </cell>
          <cell r="M20">
            <v>0.02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3.34</v>
          </cell>
          <cell r="K21">
            <v>3.69</v>
          </cell>
          <cell r="L21">
            <v>0</v>
          </cell>
          <cell r="M21">
            <v>0.02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0.28999999999999998</v>
          </cell>
          <cell r="K22">
            <v>0.62</v>
          </cell>
          <cell r="L22">
            <v>0</v>
          </cell>
          <cell r="M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D23">
            <v>1.53</v>
          </cell>
          <cell r="E23">
            <v>1.53</v>
          </cell>
          <cell r="F23">
            <v>0</v>
          </cell>
          <cell r="G23">
            <v>0</v>
          </cell>
          <cell r="J23">
            <v>0.19</v>
          </cell>
          <cell r="K23">
            <v>0.92999999999999994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6">
          <cell r="D26">
            <v>6.91</v>
          </cell>
          <cell r="E26">
            <v>12.39</v>
          </cell>
          <cell r="F26">
            <v>0</v>
          </cell>
          <cell r="G26">
            <v>0</v>
          </cell>
          <cell r="J26">
            <v>0.03</v>
          </cell>
          <cell r="K26">
            <v>0.65</v>
          </cell>
          <cell r="L26">
            <v>0</v>
          </cell>
          <cell r="M26">
            <v>0</v>
          </cell>
          <cell r="P26">
            <v>0.12</v>
          </cell>
          <cell r="Q26">
            <v>0.12</v>
          </cell>
          <cell r="R26">
            <v>0</v>
          </cell>
          <cell r="S26">
            <v>0</v>
          </cell>
        </row>
        <row r="27">
          <cell r="D27">
            <v>8.7200000000000006</v>
          </cell>
          <cell r="E27">
            <v>16.48</v>
          </cell>
          <cell r="F27">
            <v>0</v>
          </cell>
          <cell r="G27">
            <v>0.02</v>
          </cell>
          <cell r="J27">
            <v>1.04</v>
          </cell>
          <cell r="K27">
            <v>1.62</v>
          </cell>
          <cell r="L27">
            <v>0</v>
          </cell>
          <cell r="M27">
            <v>0.02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D29">
            <v>0.05</v>
          </cell>
          <cell r="E29">
            <v>128.69</v>
          </cell>
          <cell r="F29">
            <v>0</v>
          </cell>
          <cell r="G29">
            <v>0</v>
          </cell>
          <cell r="J29">
            <v>0.09</v>
          </cell>
          <cell r="K29">
            <v>0.15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D30">
            <v>2.57</v>
          </cell>
          <cell r="E30">
            <v>9.75</v>
          </cell>
          <cell r="F30">
            <v>0</v>
          </cell>
          <cell r="G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D31">
            <v>2.0779999999999998</v>
          </cell>
          <cell r="E31">
            <v>2.0779999999999998</v>
          </cell>
          <cell r="F31">
            <v>0</v>
          </cell>
          <cell r="G31">
            <v>0</v>
          </cell>
          <cell r="J31">
            <v>0</v>
          </cell>
          <cell r="K31">
            <v>0.20499999999999999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D32">
            <v>2.69</v>
          </cell>
          <cell r="E32">
            <v>5.1099999999999994</v>
          </cell>
          <cell r="F32">
            <v>0</v>
          </cell>
          <cell r="G32">
            <v>9.73</v>
          </cell>
          <cell r="J32">
            <v>1.65</v>
          </cell>
          <cell r="K32">
            <v>3.2080000000000002</v>
          </cell>
          <cell r="L32">
            <v>0</v>
          </cell>
          <cell r="M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D34">
            <v>7.64</v>
          </cell>
          <cell r="E34">
            <v>17.62</v>
          </cell>
          <cell r="F34">
            <v>0</v>
          </cell>
          <cell r="G34">
            <v>0</v>
          </cell>
          <cell r="J34">
            <v>0</v>
          </cell>
          <cell r="K34">
            <v>0.09</v>
          </cell>
          <cell r="L34">
            <v>0</v>
          </cell>
          <cell r="M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D35">
            <v>21.240000000000002</v>
          </cell>
          <cell r="E35">
            <v>42.74</v>
          </cell>
          <cell r="F35">
            <v>0</v>
          </cell>
          <cell r="G35">
            <v>0</v>
          </cell>
          <cell r="J35">
            <v>0</v>
          </cell>
          <cell r="K35">
            <v>0.04</v>
          </cell>
          <cell r="L35">
            <v>0</v>
          </cell>
          <cell r="M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D36">
            <v>0.69</v>
          </cell>
          <cell r="E36">
            <v>3.2199999999999998</v>
          </cell>
          <cell r="F36">
            <v>0</v>
          </cell>
          <cell r="G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D37">
            <v>16.829999999999998</v>
          </cell>
          <cell r="E37">
            <v>22.369999999999997</v>
          </cell>
          <cell r="F37">
            <v>0</v>
          </cell>
          <cell r="G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40">
          <cell r="D40">
            <v>10.8</v>
          </cell>
          <cell r="E40">
            <v>19.8</v>
          </cell>
          <cell r="F40">
            <v>0</v>
          </cell>
          <cell r="G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D41">
            <v>61.589999999999996</v>
          </cell>
          <cell r="E41">
            <v>61.629999999999995</v>
          </cell>
          <cell r="F41">
            <v>0</v>
          </cell>
          <cell r="G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D42">
            <v>31.43</v>
          </cell>
          <cell r="E42">
            <v>40.46</v>
          </cell>
          <cell r="F42">
            <v>0</v>
          </cell>
          <cell r="G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D43">
            <v>61.77</v>
          </cell>
          <cell r="E43">
            <v>75.75</v>
          </cell>
          <cell r="F43">
            <v>0</v>
          </cell>
          <cell r="G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5">
          <cell r="D45">
            <v>26.59</v>
          </cell>
          <cell r="E45">
            <v>58.64</v>
          </cell>
          <cell r="F45">
            <v>0</v>
          </cell>
          <cell r="G45">
            <v>0</v>
          </cell>
          <cell r="J45">
            <v>0.02</v>
          </cell>
          <cell r="K45">
            <v>0.02</v>
          </cell>
          <cell r="L45">
            <v>0</v>
          </cell>
          <cell r="M45">
            <v>0</v>
          </cell>
          <cell r="P45">
            <v>0</v>
          </cell>
          <cell r="Q45">
            <v>0.06</v>
          </cell>
          <cell r="R45">
            <v>0</v>
          </cell>
          <cell r="S45">
            <v>0</v>
          </cell>
        </row>
        <row r="46">
          <cell r="D46">
            <v>13.96</v>
          </cell>
          <cell r="E46">
            <v>65.62</v>
          </cell>
          <cell r="F46">
            <v>0</v>
          </cell>
          <cell r="G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D47">
            <v>3.88</v>
          </cell>
          <cell r="E47">
            <v>250.44</v>
          </cell>
          <cell r="F47">
            <v>0</v>
          </cell>
          <cell r="G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D48">
            <v>3.7</v>
          </cell>
          <cell r="E48">
            <v>35.880000000000003</v>
          </cell>
          <cell r="F48">
            <v>0</v>
          </cell>
          <cell r="G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</sheetData>
      <sheetData sheetId="3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J7">
            <v>1.6850000000000001</v>
          </cell>
          <cell r="K7">
            <v>7.0500000000000007</v>
          </cell>
          <cell r="L7">
            <v>0</v>
          </cell>
          <cell r="M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J8">
            <v>6.41</v>
          </cell>
          <cell r="K8">
            <v>33.445000000000007</v>
          </cell>
          <cell r="L8">
            <v>0</v>
          </cell>
          <cell r="M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J9">
            <v>8.8800000000000008</v>
          </cell>
          <cell r="K9">
            <v>20.25</v>
          </cell>
          <cell r="L9">
            <v>0</v>
          </cell>
          <cell r="M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J10">
            <v>1.28</v>
          </cell>
          <cell r="K10">
            <v>3.0280000000000005</v>
          </cell>
          <cell r="L10">
            <v>0</v>
          </cell>
          <cell r="M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J12">
            <v>3.59</v>
          </cell>
          <cell r="K12">
            <v>11.41</v>
          </cell>
          <cell r="L12">
            <v>0</v>
          </cell>
          <cell r="M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J13">
            <v>1.38</v>
          </cell>
          <cell r="K13">
            <v>5.55</v>
          </cell>
          <cell r="L13">
            <v>0</v>
          </cell>
          <cell r="M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J14">
            <v>4.53</v>
          </cell>
          <cell r="K14">
            <v>17.579999999999998</v>
          </cell>
          <cell r="L14">
            <v>0</v>
          </cell>
          <cell r="M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6">
          <cell r="D16">
            <v>1.2</v>
          </cell>
          <cell r="E16">
            <v>1.94</v>
          </cell>
          <cell r="F16">
            <v>0</v>
          </cell>
          <cell r="G16">
            <v>4.2300000000000004</v>
          </cell>
          <cell r="J16">
            <v>1.48</v>
          </cell>
          <cell r="K16">
            <v>2.9</v>
          </cell>
          <cell r="L16">
            <v>0</v>
          </cell>
          <cell r="M16">
            <v>0</v>
          </cell>
          <cell r="P16">
            <v>0</v>
          </cell>
          <cell r="Q16">
            <v>0.08</v>
          </cell>
          <cell r="R16">
            <v>30.8</v>
          </cell>
          <cell r="S16">
            <v>30.830000000000002</v>
          </cell>
        </row>
        <row r="17">
          <cell r="D17">
            <v>0</v>
          </cell>
          <cell r="E17">
            <v>0.05</v>
          </cell>
          <cell r="F17">
            <v>0</v>
          </cell>
          <cell r="G17">
            <v>0</v>
          </cell>
          <cell r="J17">
            <v>1.5</v>
          </cell>
          <cell r="K17">
            <v>11.620000000000001</v>
          </cell>
          <cell r="L17">
            <v>0</v>
          </cell>
          <cell r="M17">
            <v>0.43</v>
          </cell>
          <cell r="P17">
            <v>0</v>
          </cell>
          <cell r="Q17">
            <v>1.22</v>
          </cell>
          <cell r="R17">
            <v>0</v>
          </cell>
          <cell r="S17">
            <v>0.43</v>
          </cell>
        </row>
        <row r="18">
          <cell r="D18">
            <v>0</v>
          </cell>
          <cell r="E18">
            <v>0.05</v>
          </cell>
          <cell r="F18">
            <v>0</v>
          </cell>
          <cell r="G18">
            <v>0.05</v>
          </cell>
          <cell r="J18">
            <v>0.72</v>
          </cell>
          <cell r="K18">
            <v>3.5149999999999997</v>
          </cell>
          <cell r="L18">
            <v>0</v>
          </cell>
          <cell r="M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2.16</v>
          </cell>
          <cell r="K20">
            <v>4.68</v>
          </cell>
          <cell r="L20">
            <v>0</v>
          </cell>
          <cell r="M20">
            <v>0.02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0.12</v>
          </cell>
          <cell r="K21">
            <v>3.81</v>
          </cell>
          <cell r="L21">
            <v>0</v>
          </cell>
          <cell r="M21">
            <v>0.02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0.56000000000000005</v>
          </cell>
          <cell r="K22">
            <v>1.1800000000000002</v>
          </cell>
          <cell r="L22">
            <v>0</v>
          </cell>
          <cell r="M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D23">
            <v>0</v>
          </cell>
          <cell r="E23">
            <v>1.53</v>
          </cell>
          <cell r="F23">
            <v>0</v>
          </cell>
          <cell r="G23">
            <v>0</v>
          </cell>
          <cell r="J23">
            <v>2.7</v>
          </cell>
          <cell r="K23">
            <v>3.63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6">
          <cell r="D26">
            <v>2.44</v>
          </cell>
          <cell r="E26">
            <v>14.83</v>
          </cell>
          <cell r="F26">
            <v>0</v>
          </cell>
          <cell r="G26">
            <v>0</v>
          </cell>
          <cell r="J26">
            <v>0.03</v>
          </cell>
          <cell r="K26">
            <v>0.68</v>
          </cell>
          <cell r="L26">
            <v>0</v>
          </cell>
          <cell r="M26">
            <v>0</v>
          </cell>
          <cell r="P26">
            <v>0</v>
          </cell>
          <cell r="Q26">
            <v>0.12</v>
          </cell>
          <cell r="R26">
            <v>0</v>
          </cell>
          <cell r="S26">
            <v>0</v>
          </cell>
        </row>
        <row r="27">
          <cell r="D27">
            <v>8.2100000000000009</v>
          </cell>
          <cell r="E27">
            <v>24.69</v>
          </cell>
          <cell r="F27">
            <v>0</v>
          </cell>
          <cell r="G27">
            <v>0.02</v>
          </cell>
          <cell r="J27">
            <v>3.05</v>
          </cell>
          <cell r="K27">
            <v>4.67</v>
          </cell>
          <cell r="L27">
            <v>0</v>
          </cell>
          <cell r="M27">
            <v>0.02</v>
          </cell>
          <cell r="P27">
            <v>0.05</v>
          </cell>
          <cell r="Q27">
            <v>0.05</v>
          </cell>
          <cell r="R27">
            <v>0</v>
          </cell>
          <cell r="S27">
            <v>0</v>
          </cell>
        </row>
        <row r="29">
          <cell r="D29">
            <v>1.1499999999999999</v>
          </cell>
          <cell r="E29">
            <v>129.84</v>
          </cell>
          <cell r="F29">
            <v>0</v>
          </cell>
          <cell r="G29">
            <v>0</v>
          </cell>
          <cell r="J29">
            <v>0.56999999999999995</v>
          </cell>
          <cell r="K29">
            <v>0.72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D30">
            <v>5.46</v>
          </cell>
          <cell r="E30">
            <v>15.21</v>
          </cell>
          <cell r="F30">
            <v>0</v>
          </cell>
          <cell r="G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D31">
            <v>4.33</v>
          </cell>
          <cell r="E31">
            <v>6.4079999999999995</v>
          </cell>
          <cell r="F31">
            <v>0</v>
          </cell>
          <cell r="G31">
            <v>0</v>
          </cell>
          <cell r="J31">
            <v>0</v>
          </cell>
          <cell r="K31">
            <v>0.20499999999999999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D32">
            <v>1.77</v>
          </cell>
          <cell r="E32">
            <v>6.879999999999999</v>
          </cell>
          <cell r="F32">
            <v>0</v>
          </cell>
          <cell r="G32">
            <v>9.73</v>
          </cell>
          <cell r="J32">
            <v>1.78</v>
          </cell>
          <cell r="K32">
            <v>4.9880000000000004</v>
          </cell>
          <cell r="L32">
            <v>0</v>
          </cell>
          <cell r="M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D34">
            <v>0.41</v>
          </cell>
          <cell r="E34">
            <v>18.03</v>
          </cell>
          <cell r="F34">
            <v>0</v>
          </cell>
          <cell r="G34">
            <v>0</v>
          </cell>
          <cell r="J34">
            <v>0</v>
          </cell>
          <cell r="K34">
            <v>0.09</v>
          </cell>
          <cell r="L34">
            <v>0</v>
          </cell>
          <cell r="M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D35">
            <v>12.98</v>
          </cell>
          <cell r="E35">
            <v>55.72</v>
          </cell>
          <cell r="F35">
            <v>0</v>
          </cell>
          <cell r="G35">
            <v>0</v>
          </cell>
          <cell r="J35">
            <v>0</v>
          </cell>
          <cell r="K35">
            <v>0.04</v>
          </cell>
          <cell r="L35">
            <v>0</v>
          </cell>
          <cell r="M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D36">
            <v>6.75</v>
          </cell>
          <cell r="E36">
            <v>9.9699999999999989</v>
          </cell>
          <cell r="F36">
            <v>0</v>
          </cell>
          <cell r="G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D37">
            <v>7.01</v>
          </cell>
          <cell r="E37">
            <v>29.379999999999995</v>
          </cell>
          <cell r="F37">
            <v>0</v>
          </cell>
          <cell r="G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40">
          <cell r="D40">
            <v>19.45</v>
          </cell>
          <cell r="E40">
            <v>39.25</v>
          </cell>
          <cell r="F40">
            <v>0</v>
          </cell>
          <cell r="G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D41">
            <v>43.93</v>
          </cell>
          <cell r="E41">
            <v>105.56</v>
          </cell>
          <cell r="F41">
            <v>0</v>
          </cell>
          <cell r="G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D42">
            <v>23.81</v>
          </cell>
          <cell r="E42">
            <v>64.27</v>
          </cell>
          <cell r="F42">
            <v>0</v>
          </cell>
          <cell r="G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D43">
            <v>38.29</v>
          </cell>
          <cell r="E43">
            <v>114.03999999999999</v>
          </cell>
          <cell r="F43">
            <v>0</v>
          </cell>
          <cell r="G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5">
          <cell r="D45">
            <v>14.15</v>
          </cell>
          <cell r="E45">
            <v>72.790000000000006</v>
          </cell>
          <cell r="F45">
            <v>0</v>
          </cell>
          <cell r="G45">
            <v>0</v>
          </cell>
          <cell r="J45">
            <v>0.08</v>
          </cell>
          <cell r="K45">
            <v>0.1</v>
          </cell>
          <cell r="L45">
            <v>0</v>
          </cell>
          <cell r="M45">
            <v>0</v>
          </cell>
          <cell r="P45">
            <v>0</v>
          </cell>
          <cell r="Q45">
            <v>0.06</v>
          </cell>
          <cell r="R45">
            <v>0</v>
          </cell>
          <cell r="S45">
            <v>0</v>
          </cell>
        </row>
        <row r="46">
          <cell r="D46">
            <v>36.47</v>
          </cell>
          <cell r="E46">
            <v>102.09</v>
          </cell>
          <cell r="F46">
            <v>0</v>
          </cell>
          <cell r="G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D47">
            <v>4.1399999999999997</v>
          </cell>
          <cell r="E47">
            <v>254.57999999999998</v>
          </cell>
          <cell r="F47">
            <v>0</v>
          </cell>
          <cell r="G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D48">
            <v>0.67</v>
          </cell>
          <cell r="E48">
            <v>36.550000000000004</v>
          </cell>
          <cell r="F48">
            <v>0</v>
          </cell>
          <cell r="G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</sheetData>
      <sheetData sheetId="4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7.179999999999982</v>
          </cell>
          <cell r="J7">
            <v>1.5</v>
          </cell>
          <cell r="K7">
            <v>8.5500000000000007</v>
          </cell>
          <cell r="L7">
            <v>0</v>
          </cell>
          <cell r="M7">
            <v>0</v>
          </cell>
          <cell r="N7">
            <v>723.00699999999972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8.436000000000007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265.98999999999995</v>
          </cell>
          <cell r="J8">
            <v>9.0050000000000008</v>
          </cell>
          <cell r="K8">
            <v>42.45000000000001</v>
          </cell>
          <cell r="L8">
            <v>0</v>
          </cell>
          <cell r="M8">
            <v>0</v>
          </cell>
          <cell r="N8">
            <v>440.59600000000012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66.290000000000006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209.16</v>
          </cell>
          <cell r="J9">
            <v>5.56</v>
          </cell>
          <cell r="K9">
            <v>25.81</v>
          </cell>
          <cell r="L9">
            <v>0</v>
          </cell>
          <cell r="M9">
            <v>0</v>
          </cell>
          <cell r="N9">
            <v>929.05799999999988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44.739999999999995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0.13</v>
          </cell>
          <cell r="K10">
            <v>3.1580000000000004</v>
          </cell>
          <cell r="L10">
            <v>0</v>
          </cell>
          <cell r="M10">
            <v>0</v>
          </cell>
          <cell r="N10">
            <v>368.13099999999986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0.20000000000000007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22.179999999999609</v>
          </cell>
          <cell r="J12">
            <v>1.47</v>
          </cell>
          <cell r="K12">
            <v>12.88</v>
          </cell>
          <cell r="L12">
            <v>0</v>
          </cell>
          <cell r="M12">
            <v>0</v>
          </cell>
          <cell r="N12">
            <v>1289.3149999999998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1.9700000000000095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312.23000000000013</v>
          </cell>
          <cell r="J13">
            <v>0.94</v>
          </cell>
          <cell r="K13">
            <v>6.49</v>
          </cell>
          <cell r="L13">
            <v>0</v>
          </cell>
          <cell r="M13">
            <v>0</v>
          </cell>
          <cell r="N13">
            <v>552.02200000000028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68.39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1216.4399999999994</v>
          </cell>
          <cell r="J14">
            <v>2.19</v>
          </cell>
          <cell r="K14">
            <v>19.77</v>
          </cell>
          <cell r="L14">
            <v>0</v>
          </cell>
          <cell r="M14">
            <v>0</v>
          </cell>
          <cell r="N14">
            <v>923.26800000000037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61.329999999999991</v>
          </cell>
        </row>
        <row r="16">
          <cell r="D16">
            <v>5.35</v>
          </cell>
          <cell r="E16">
            <v>7.2899999999999991</v>
          </cell>
          <cell r="F16">
            <v>0</v>
          </cell>
          <cell r="G16">
            <v>4.2300000000000004</v>
          </cell>
          <cell r="H16">
            <v>759.22400000000039</v>
          </cell>
          <cell r="J16">
            <v>0.69</v>
          </cell>
          <cell r="K16">
            <v>3.59</v>
          </cell>
          <cell r="L16">
            <v>0</v>
          </cell>
          <cell r="M16">
            <v>0</v>
          </cell>
          <cell r="N16">
            <v>580.56600000000026</v>
          </cell>
          <cell r="P16">
            <v>0</v>
          </cell>
          <cell r="Q16">
            <v>0.08</v>
          </cell>
          <cell r="R16">
            <v>0</v>
          </cell>
          <cell r="S16">
            <v>30.830000000000002</v>
          </cell>
          <cell r="T16">
            <v>146.69200000000004</v>
          </cell>
        </row>
        <row r="17">
          <cell r="D17">
            <v>0</v>
          </cell>
          <cell r="E17">
            <v>0.05</v>
          </cell>
          <cell r="F17">
            <v>0</v>
          </cell>
          <cell r="G17">
            <v>0</v>
          </cell>
          <cell r="H17">
            <v>2.7259999999999476</v>
          </cell>
          <cell r="J17">
            <v>1.76</v>
          </cell>
          <cell r="K17">
            <v>13.38</v>
          </cell>
          <cell r="L17">
            <v>0</v>
          </cell>
          <cell r="M17">
            <v>0.43</v>
          </cell>
          <cell r="N17">
            <v>602.07000000000005</v>
          </cell>
          <cell r="P17">
            <v>0</v>
          </cell>
          <cell r="Q17">
            <v>1.22</v>
          </cell>
          <cell r="R17">
            <v>0</v>
          </cell>
          <cell r="S17">
            <v>0.43</v>
          </cell>
          <cell r="T17">
            <v>2.7399999999999998</v>
          </cell>
        </row>
        <row r="18">
          <cell r="D18">
            <v>0</v>
          </cell>
          <cell r="E18">
            <v>0.05</v>
          </cell>
          <cell r="F18">
            <v>0</v>
          </cell>
          <cell r="G18">
            <v>0.05</v>
          </cell>
          <cell r="H18">
            <v>90.266000000000147</v>
          </cell>
          <cell r="J18">
            <v>1.04</v>
          </cell>
          <cell r="K18">
            <v>4.5549999999999997</v>
          </cell>
          <cell r="L18">
            <v>0</v>
          </cell>
          <cell r="M18">
            <v>0</v>
          </cell>
          <cell r="N18">
            <v>621.85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35.689999999999991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607.42999999999984</v>
          </cell>
          <cell r="J20">
            <v>3.93</v>
          </cell>
          <cell r="K20">
            <v>8.61</v>
          </cell>
          <cell r="L20">
            <v>0</v>
          </cell>
          <cell r="M20">
            <v>0.02</v>
          </cell>
          <cell r="N20">
            <v>756.99800000000016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37.580000000000005</v>
          </cell>
        </row>
        <row r="21">
          <cell r="D21">
            <v>0</v>
          </cell>
          <cell r="E21">
            <v>0</v>
          </cell>
          <cell r="F21">
            <v>0.87</v>
          </cell>
          <cell r="G21">
            <v>0.87</v>
          </cell>
          <cell r="H21">
            <v>1.2000000000000002</v>
          </cell>
          <cell r="J21">
            <v>0.8</v>
          </cell>
          <cell r="K21">
            <v>4.6100000000000003</v>
          </cell>
          <cell r="L21">
            <v>0</v>
          </cell>
          <cell r="M21">
            <v>0.02</v>
          </cell>
          <cell r="N21">
            <v>466.01700000000011</v>
          </cell>
          <cell r="P21">
            <v>0</v>
          </cell>
          <cell r="Q21">
            <v>0</v>
          </cell>
          <cell r="R21">
            <v>16.239999999999998</v>
          </cell>
          <cell r="S21">
            <v>16.239999999999998</v>
          </cell>
          <cell r="T21">
            <v>2.649999999999995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22.430000000000021</v>
          </cell>
          <cell r="J22">
            <v>0.56000000000000005</v>
          </cell>
          <cell r="K22">
            <v>1.7400000000000002</v>
          </cell>
          <cell r="L22">
            <v>0</v>
          </cell>
          <cell r="M22">
            <v>0</v>
          </cell>
          <cell r="N22">
            <v>699.96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0.60000000000000098</v>
          </cell>
        </row>
        <row r="23">
          <cell r="D23">
            <v>0</v>
          </cell>
          <cell r="E23">
            <v>1.53</v>
          </cell>
          <cell r="F23">
            <v>0</v>
          </cell>
          <cell r="G23">
            <v>0</v>
          </cell>
          <cell r="H23">
            <v>432.16999999999996</v>
          </cell>
          <cell r="J23">
            <v>0.44</v>
          </cell>
          <cell r="K23">
            <v>4.07</v>
          </cell>
          <cell r="L23">
            <v>0</v>
          </cell>
          <cell r="M23">
            <v>0</v>
          </cell>
          <cell r="N23">
            <v>143.62499999999997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22.5</v>
          </cell>
        </row>
        <row r="26">
          <cell r="D26">
            <v>2.83</v>
          </cell>
          <cell r="E26">
            <v>17.66</v>
          </cell>
          <cell r="F26">
            <v>0</v>
          </cell>
          <cell r="G26">
            <v>0</v>
          </cell>
          <cell r="H26">
            <v>1645.95</v>
          </cell>
          <cell r="J26">
            <v>0.26</v>
          </cell>
          <cell r="K26">
            <v>0.94000000000000006</v>
          </cell>
          <cell r="L26">
            <v>0</v>
          </cell>
          <cell r="M26">
            <v>0</v>
          </cell>
          <cell r="N26">
            <v>122.49000000000001</v>
          </cell>
          <cell r="P26">
            <v>0</v>
          </cell>
          <cell r="Q26">
            <v>0.12</v>
          </cell>
          <cell r="R26">
            <v>0</v>
          </cell>
          <cell r="S26">
            <v>0</v>
          </cell>
          <cell r="T26">
            <v>16.489999999999998</v>
          </cell>
        </row>
        <row r="27">
          <cell r="D27">
            <v>7.98</v>
          </cell>
          <cell r="E27">
            <v>32.67</v>
          </cell>
          <cell r="F27">
            <v>0</v>
          </cell>
          <cell r="G27">
            <v>0.02</v>
          </cell>
          <cell r="H27">
            <v>5718.0250000000042</v>
          </cell>
          <cell r="J27">
            <v>2.33</v>
          </cell>
          <cell r="K27">
            <v>7</v>
          </cell>
          <cell r="L27">
            <v>0</v>
          </cell>
          <cell r="M27">
            <v>0.02</v>
          </cell>
          <cell r="N27">
            <v>641.1579999999999</v>
          </cell>
          <cell r="P27">
            <v>0</v>
          </cell>
          <cell r="Q27">
            <v>0.05</v>
          </cell>
          <cell r="R27">
            <v>0</v>
          </cell>
          <cell r="S27">
            <v>0</v>
          </cell>
          <cell r="T27">
            <v>33.85</v>
          </cell>
        </row>
        <row r="29">
          <cell r="D29">
            <v>1.22</v>
          </cell>
          <cell r="E29">
            <v>131.06</v>
          </cell>
          <cell r="F29">
            <v>0</v>
          </cell>
          <cell r="G29">
            <v>0</v>
          </cell>
          <cell r="H29">
            <v>5012.0980000000009</v>
          </cell>
          <cell r="J29">
            <v>0.54</v>
          </cell>
          <cell r="K29">
            <v>1.26</v>
          </cell>
          <cell r="L29">
            <v>0</v>
          </cell>
          <cell r="M29">
            <v>0</v>
          </cell>
          <cell r="N29">
            <v>122.79000000000002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34.52000000000001</v>
          </cell>
        </row>
        <row r="30">
          <cell r="D30">
            <v>7.87</v>
          </cell>
          <cell r="E30">
            <v>23.080000000000002</v>
          </cell>
          <cell r="F30">
            <v>0</v>
          </cell>
          <cell r="G30">
            <v>0</v>
          </cell>
          <cell r="H30">
            <v>3725.2299999999991</v>
          </cell>
          <cell r="J30">
            <v>33.78</v>
          </cell>
          <cell r="K30">
            <v>33.78</v>
          </cell>
          <cell r="L30">
            <v>0</v>
          </cell>
          <cell r="M30">
            <v>0</v>
          </cell>
          <cell r="N30">
            <v>232.36699999999999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23.25</v>
          </cell>
        </row>
        <row r="31">
          <cell r="D31">
            <v>1.079</v>
          </cell>
          <cell r="E31">
            <v>7.4869999999999992</v>
          </cell>
          <cell r="F31">
            <v>0</v>
          </cell>
          <cell r="G31">
            <v>0</v>
          </cell>
          <cell r="H31">
            <v>4709.9790000000012</v>
          </cell>
          <cell r="J31">
            <v>0</v>
          </cell>
          <cell r="K31">
            <v>0.20499999999999999</v>
          </cell>
          <cell r="L31">
            <v>0</v>
          </cell>
          <cell r="M31">
            <v>0</v>
          </cell>
          <cell r="N31">
            <v>107.89500000000002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14.850000000000001</v>
          </cell>
        </row>
        <row r="32">
          <cell r="D32">
            <v>3.72</v>
          </cell>
          <cell r="E32">
            <v>10.6</v>
          </cell>
          <cell r="F32">
            <v>0</v>
          </cell>
          <cell r="G32">
            <v>9.73</v>
          </cell>
          <cell r="H32">
            <v>2374.8957999999989</v>
          </cell>
          <cell r="J32">
            <v>1.63</v>
          </cell>
          <cell r="K32">
            <v>6.6180000000000003</v>
          </cell>
          <cell r="L32">
            <v>0</v>
          </cell>
          <cell r="M32">
            <v>0</v>
          </cell>
          <cell r="N32">
            <v>99.794000000000025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67.551999999999992</v>
          </cell>
        </row>
        <row r="34">
          <cell r="D34">
            <v>2.82</v>
          </cell>
          <cell r="E34">
            <v>20.85</v>
          </cell>
          <cell r="F34">
            <v>2.72</v>
          </cell>
          <cell r="G34">
            <v>2.72</v>
          </cell>
          <cell r="H34">
            <v>4604.8799999999992</v>
          </cell>
          <cell r="J34">
            <v>8</v>
          </cell>
          <cell r="K34">
            <v>8.09</v>
          </cell>
          <cell r="L34">
            <v>0</v>
          </cell>
          <cell r="M34">
            <v>0</v>
          </cell>
          <cell r="N34">
            <v>116.16999999999999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72.7</v>
          </cell>
        </row>
        <row r="35">
          <cell r="D35">
            <v>28.19</v>
          </cell>
          <cell r="E35">
            <v>83.91</v>
          </cell>
          <cell r="F35">
            <v>0</v>
          </cell>
          <cell r="G35">
            <v>0</v>
          </cell>
          <cell r="H35">
            <v>6767.529999999997</v>
          </cell>
          <cell r="J35">
            <v>0</v>
          </cell>
          <cell r="K35">
            <v>0.04</v>
          </cell>
          <cell r="L35">
            <v>0</v>
          </cell>
          <cell r="M35">
            <v>0</v>
          </cell>
          <cell r="N35">
            <v>34.17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90.800000000000011</v>
          </cell>
        </row>
        <row r="36">
          <cell r="D36">
            <v>13.18</v>
          </cell>
          <cell r="E36">
            <v>23.15</v>
          </cell>
          <cell r="F36">
            <v>0</v>
          </cell>
          <cell r="G36">
            <v>0</v>
          </cell>
          <cell r="H36">
            <v>3720.81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30.250000000000039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36.379999999999995</v>
          </cell>
        </row>
        <row r="37">
          <cell r="D37">
            <v>6.64</v>
          </cell>
          <cell r="E37">
            <v>36.019999999999996</v>
          </cell>
          <cell r="F37">
            <v>0</v>
          </cell>
          <cell r="G37">
            <v>0</v>
          </cell>
          <cell r="H37">
            <v>5130.5299999999988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26.700000000000003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3.0599999999999996</v>
          </cell>
        </row>
        <row r="40">
          <cell r="D40">
            <v>7.84</v>
          </cell>
          <cell r="E40">
            <v>47.09</v>
          </cell>
          <cell r="F40">
            <v>0</v>
          </cell>
          <cell r="G40">
            <v>0</v>
          </cell>
          <cell r="H40">
            <v>11904.713999999998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198.73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106.93</v>
          </cell>
        </row>
        <row r="41">
          <cell r="D41">
            <v>6.56</v>
          </cell>
          <cell r="E41">
            <v>112.12</v>
          </cell>
          <cell r="F41">
            <v>0</v>
          </cell>
          <cell r="G41">
            <v>0</v>
          </cell>
          <cell r="H41">
            <v>8559.5189999999948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8.67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141.29000000000002</v>
          </cell>
        </row>
        <row r="42">
          <cell r="D42">
            <v>9.8699999999999992</v>
          </cell>
          <cell r="E42">
            <v>74.14</v>
          </cell>
          <cell r="F42">
            <v>0</v>
          </cell>
          <cell r="G42">
            <v>0</v>
          </cell>
          <cell r="H42">
            <v>14027.812999999996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15.62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205.35</v>
          </cell>
        </row>
        <row r="43">
          <cell r="D43">
            <v>3.75</v>
          </cell>
          <cell r="E43">
            <v>117.78999999999999</v>
          </cell>
          <cell r="F43">
            <v>0</v>
          </cell>
          <cell r="G43">
            <v>0</v>
          </cell>
          <cell r="H43">
            <v>4319.7500000000009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3.5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29.8</v>
          </cell>
        </row>
        <row r="45">
          <cell r="D45">
            <v>22.08</v>
          </cell>
          <cell r="E45">
            <v>94.87</v>
          </cell>
          <cell r="F45">
            <v>0</v>
          </cell>
          <cell r="G45">
            <v>0</v>
          </cell>
          <cell r="H45">
            <v>8458.6820999999982</v>
          </cell>
          <cell r="J45">
            <v>0</v>
          </cell>
          <cell r="K45">
            <v>0.1</v>
          </cell>
          <cell r="L45">
            <v>0</v>
          </cell>
          <cell r="M45">
            <v>0</v>
          </cell>
          <cell r="N45">
            <v>261.14999999999992</v>
          </cell>
          <cell r="P45">
            <v>0</v>
          </cell>
          <cell r="Q45">
            <v>0.06</v>
          </cell>
          <cell r="R45">
            <v>0</v>
          </cell>
          <cell r="S45">
            <v>0</v>
          </cell>
          <cell r="T45">
            <v>84.45</v>
          </cell>
        </row>
        <row r="46">
          <cell r="D46">
            <v>21.5</v>
          </cell>
          <cell r="E46">
            <v>123.59</v>
          </cell>
          <cell r="F46">
            <v>0</v>
          </cell>
          <cell r="G46">
            <v>0</v>
          </cell>
          <cell r="H46">
            <v>8070.8250000000016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47.03</v>
          </cell>
        </row>
        <row r="47">
          <cell r="D47">
            <v>17.21</v>
          </cell>
          <cell r="E47">
            <v>271.78999999999996</v>
          </cell>
          <cell r="F47">
            <v>0</v>
          </cell>
          <cell r="G47">
            <v>0</v>
          </cell>
          <cell r="H47">
            <v>9349.4899999999943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3.13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118.94999999999999</v>
          </cell>
        </row>
        <row r="48">
          <cell r="D48">
            <v>0.32</v>
          </cell>
          <cell r="E48">
            <v>36.870000000000005</v>
          </cell>
          <cell r="F48">
            <v>0</v>
          </cell>
          <cell r="G48">
            <v>0</v>
          </cell>
          <cell r="H48">
            <v>8642.8189999999977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5.0249999999999995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4.21</v>
          </cell>
        </row>
      </sheetData>
      <sheetData sheetId="5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7.179999999999982</v>
          </cell>
          <cell r="J7">
            <v>1.25</v>
          </cell>
          <cell r="K7">
            <v>9.8000000000000007</v>
          </cell>
          <cell r="L7">
            <v>0</v>
          </cell>
          <cell r="M7">
            <v>0</v>
          </cell>
          <cell r="N7">
            <v>724.25699999999972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8.436000000000007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265.98999999999995</v>
          </cell>
          <cell r="J8">
            <v>28.68</v>
          </cell>
          <cell r="K8">
            <v>71.13000000000001</v>
          </cell>
          <cell r="L8">
            <v>0</v>
          </cell>
          <cell r="M8">
            <v>0</v>
          </cell>
          <cell r="N8">
            <v>469.27600000000012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66.290000000000006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209.16</v>
          </cell>
          <cell r="J9">
            <v>4.59</v>
          </cell>
          <cell r="K9">
            <v>30.4</v>
          </cell>
          <cell r="L9">
            <v>0</v>
          </cell>
          <cell r="M9">
            <v>0</v>
          </cell>
          <cell r="N9">
            <v>933.64799999999991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44.739999999999995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3.0950000000000002</v>
          </cell>
          <cell r="K10">
            <v>6.2530000000000001</v>
          </cell>
          <cell r="L10">
            <v>0</v>
          </cell>
          <cell r="M10">
            <v>0</v>
          </cell>
          <cell r="N10">
            <v>371.22599999999989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0.20000000000000007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22.179999999999609</v>
          </cell>
          <cell r="J12">
            <v>3.09</v>
          </cell>
          <cell r="K12">
            <v>15.97</v>
          </cell>
          <cell r="L12">
            <v>0</v>
          </cell>
          <cell r="M12">
            <v>0</v>
          </cell>
          <cell r="N12">
            <v>1292.4049999999997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1.9700000000000095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312.23000000000013</v>
          </cell>
          <cell r="J13">
            <v>2.75</v>
          </cell>
          <cell r="K13">
            <v>9.24</v>
          </cell>
          <cell r="L13">
            <v>0</v>
          </cell>
          <cell r="M13">
            <v>0</v>
          </cell>
          <cell r="N13">
            <v>554.77200000000028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68.39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1216.4399999999994</v>
          </cell>
          <cell r="J14">
            <v>5.05</v>
          </cell>
          <cell r="K14">
            <v>24.82</v>
          </cell>
          <cell r="L14">
            <v>0</v>
          </cell>
          <cell r="M14">
            <v>0</v>
          </cell>
          <cell r="N14">
            <v>928.31800000000032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61.329999999999991</v>
          </cell>
        </row>
        <row r="16">
          <cell r="D16">
            <v>1.76</v>
          </cell>
          <cell r="E16">
            <v>9.0499999999999989</v>
          </cell>
          <cell r="F16">
            <v>2.2999999999999998</v>
          </cell>
          <cell r="G16">
            <v>6.53</v>
          </cell>
          <cell r="H16">
            <v>758.68400000000042</v>
          </cell>
          <cell r="J16">
            <v>2.31</v>
          </cell>
          <cell r="K16">
            <v>5.9</v>
          </cell>
          <cell r="L16">
            <v>0</v>
          </cell>
          <cell r="M16">
            <v>0</v>
          </cell>
          <cell r="N16">
            <v>582.8760000000002</v>
          </cell>
          <cell r="P16">
            <v>0</v>
          </cell>
          <cell r="Q16">
            <v>0.08</v>
          </cell>
          <cell r="R16">
            <v>32.6</v>
          </cell>
          <cell r="S16">
            <v>63.430000000000007</v>
          </cell>
          <cell r="T16">
            <v>114.09200000000004</v>
          </cell>
        </row>
        <row r="17">
          <cell r="D17">
            <v>0</v>
          </cell>
          <cell r="E17">
            <v>0.05</v>
          </cell>
          <cell r="F17">
            <v>0</v>
          </cell>
          <cell r="G17">
            <v>0</v>
          </cell>
          <cell r="H17">
            <v>2.7259999999999476</v>
          </cell>
          <cell r="J17">
            <v>2.64</v>
          </cell>
          <cell r="K17">
            <v>16.02</v>
          </cell>
          <cell r="L17">
            <v>0</v>
          </cell>
          <cell r="M17">
            <v>0.43</v>
          </cell>
          <cell r="N17">
            <v>604.71</v>
          </cell>
          <cell r="P17">
            <v>0</v>
          </cell>
          <cell r="Q17">
            <v>1.22</v>
          </cell>
          <cell r="R17">
            <v>1.2</v>
          </cell>
          <cell r="S17">
            <v>1.63</v>
          </cell>
          <cell r="T17">
            <v>1.5399999999999998</v>
          </cell>
        </row>
        <row r="18">
          <cell r="D18">
            <v>0</v>
          </cell>
          <cell r="E18">
            <v>0.05</v>
          </cell>
          <cell r="F18">
            <v>0</v>
          </cell>
          <cell r="G18">
            <v>0.05</v>
          </cell>
          <cell r="H18">
            <v>90.266000000000147</v>
          </cell>
          <cell r="J18">
            <v>1.36</v>
          </cell>
          <cell r="K18">
            <v>5.915</v>
          </cell>
          <cell r="L18">
            <v>0</v>
          </cell>
          <cell r="M18">
            <v>0</v>
          </cell>
          <cell r="N18">
            <v>623.21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35.689999999999991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607.42999999999984</v>
          </cell>
          <cell r="J20">
            <v>2.19</v>
          </cell>
          <cell r="K20">
            <v>10.799999999999999</v>
          </cell>
          <cell r="L20">
            <v>0</v>
          </cell>
          <cell r="M20">
            <v>0.02</v>
          </cell>
          <cell r="N20">
            <v>759.18800000000022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37.580000000000005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0.87</v>
          </cell>
          <cell r="H21">
            <v>1.2000000000000002</v>
          </cell>
          <cell r="J21">
            <v>3.93</v>
          </cell>
          <cell r="K21">
            <v>8.5400000000000009</v>
          </cell>
          <cell r="L21">
            <v>0</v>
          </cell>
          <cell r="M21">
            <v>0.02</v>
          </cell>
          <cell r="N21">
            <v>469.94700000000012</v>
          </cell>
          <cell r="P21">
            <v>0</v>
          </cell>
          <cell r="Q21">
            <v>0</v>
          </cell>
          <cell r="R21">
            <v>0</v>
          </cell>
          <cell r="S21">
            <v>16.239999999999998</v>
          </cell>
          <cell r="T21">
            <v>2.649999999999995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22.430000000000021</v>
          </cell>
          <cell r="J22">
            <v>0.62</v>
          </cell>
          <cell r="K22">
            <v>2.3600000000000003</v>
          </cell>
          <cell r="L22">
            <v>0</v>
          </cell>
          <cell r="M22">
            <v>0</v>
          </cell>
          <cell r="N22">
            <v>700.58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0.60000000000000098</v>
          </cell>
        </row>
        <row r="23">
          <cell r="D23">
            <v>0</v>
          </cell>
          <cell r="E23">
            <v>1.53</v>
          </cell>
          <cell r="F23">
            <v>0</v>
          </cell>
          <cell r="G23">
            <v>0</v>
          </cell>
          <cell r="H23">
            <v>432.16999999999996</v>
          </cell>
          <cell r="J23">
            <v>1.1599999999999999</v>
          </cell>
          <cell r="K23">
            <v>5.23</v>
          </cell>
          <cell r="L23">
            <v>0</v>
          </cell>
          <cell r="M23">
            <v>0</v>
          </cell>
          <cell r="N23">
            <v>144.78499999999997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22.5</v>
          </cell>
        </row>
        <row r="26">
          <cell r="D26">
            <v>8.3800000000000008</v>
          </cell>
          <cell r="E26">
            <v>26.04</v>
          </cell>
          <cell r="F26">
            <v>0</v>
          </cell>
          <cell r="G26">
            <v>0</v>
          </cell>
          <cell r="H26">
            <v>1654.3300000000002</v>
          </cell>
          <cell r="J26">
            <v>0.21</v>
          </cell>
          <cell r="K26">
            <v>1.1500000000000001</v>
          </cell>
          <cell r="L26">
            <v>0</v>
          </cell>
          <cell r="M26">
            <v>0</v>
          </cell>
          <cell r="N26">
            <v>122.7</v>
          </cell>
          <cell r="P26">
            <v>0</v>
          </cell>
          <cell r="Q26">
            <v>0.12</v>
          </cell>
          <cell r="R26">
            <v>0</v>
          </cell>
          <cell r="S26">
            <v>0</v>
          </cell>
          <cell r="T26">
            <v>16.489999999999998</v>
          </cell>
        </row>
        <row r="27">
          <cell r="D27">
            <v>5.86</v>
          </cell>
          <cell r="E27">
            <v>38.53</v>
          </cell>
          <cell r="F27">
            <v>0</v>
          </cell>
          <cell r="G27">
            <v>0.02</v>
          </cell>
          <cell r="H27">
            <v>5723.8850000000039</v>
          </cell>
          <cell r="J27">
            <v>2.63</v>
          </cell>
          <cell r="K27">
            <v>9.629999999999999</v>
          </cell>
          <cell r="L27">
            <v>0</v>
          </cell>
          <cell r="M27">
            <v>0.02</v>
          </cell>
          <cell r="N27">
            <v>643.7879999999999</v>
          </cell>
          <cell r="P27">
            <v>0</v>
          </cell>
          <cell r="Q27">
            <v>0.05</v>
          </cell>
          <cell r="R27">
            <v>0</v>
          </cell>
          <cell r="S27">
            <v>0</v>
          </cell>
          <cell r="T27">
            <v>33.85</v>
          </cell>
        </row>
        <row r="29">
          <cell r="D29">
            <v>2.61</v>
          </cell>
          <cell r="E29">
            <v>133.67000000000002</v>
          </cell>
          <cell r="F29">
            <v>0</v>
          </cell>
          <cell r="G29">
            <v>0</v>
          </cell>
          <cell r="H29">
            <v>5014.7080000000005</v>
          </cell>
          <cell r="J29">
            <v>0.22</v>
          </cell>
          <cell r="K29">
            <v>1.48</v>
          </cell>
          <cell r="L29">
            <v>0</v>
          </cell>
          <cell r="M29">
            <v>0</v>
          </cell>
          <cell r="N29">
            <v>123.01000000000002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34.52000000000001</v>
          </cell>
        </row>
        <row r="30">
          <cell r="D30">
            <v>13.57</v>
          </cell>
          <cell r="E30">
            <v>36.650000000000006</v>
          </cell>
          <cell r="F30">
            <v>0</v>
          </cell>
          <cell r="G30">
            <v>0</v>
          </cell>
          <cell r="H30">
            <v>3738.7999999999993</v>
          </cell>
          <cell r="J30">
            <v>0</v>
          </cell>
          <cell r="K30">
            <v>33.78</v>
          </cell>
          <cell r="L30">
            <v>0</v>
          </cell>
          <cell r="M30">
            <v>0</v>
          </cell>
          <cell r="N30">
            <v>232.36699999999999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23.25</v>
          </cell>
        </row>
        <row r="31">
          <cell r="D31">
            <v>0.92500000000000004</v>
          </cell>
          <cell r="E31">
            <v>8.411999999999999</v>
          </cell>
          <cell r="F31">
            <v>0</v>
          </cell>
          <cell r="G31">
            <v>0</v>
          </cell>
          <cell r="H31">
            <v>4710.9040000000014</v>
          </cell>
          <cell r="J31">
            <v>0</v>
          </cell>
          <cell r="K31">
            <v>0.20499999999999999</v>
          </cell>
          <cell r="L31">
            <v>0</v>
          </cell>
          <cell r="M31">
            <v>0</v>
          </cell>
          <cell r="N31">
            <v>107.89500000000002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14.850000000000001</v>
          </cell>
        </row>
        <row r="32">
          <cell r="D32">
            <v>3.86</v>
          </cell>
          <cell r="E32">
            <v>14.459999999999999</v>
          </cell>
          <cell r="F32">
            <v>0</v>
          </cell>
          <cell r="G32">
            <v>9.73</v>
          </cell>
          <cell r="H32">
            <v>2378.755799999999</v>
          </cell>
          <cell r="J32">
            <v>7.89</v>
          </cell>
          <cell r="K32">
            <v>14.507999999999999</v>
          </cell>
          <cell r="L32">
            <v>0</v>
          </cell>
          <cell r="M32">
            <v>0</v>
          </cell>
          <cell r="N32">
            <v>107.68400000000003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67.551999999999992</v>
          </cell>
        </row>
        <row r="34">
          <cell r="D34">
            <v>3.66</v>
          </cell>
          <cell r="E34">
            <v>24.51</v>
          </cell>
          <cell r="F34">
            <v>0</v>
          </cell>
          <cell r="G34">
            <v>2.72</v>
          </cell>
          <cell r="H34">
            <v>4608.5399999999991</v>
          </cell>
          <cell r="J34">
            <v>0</v>
          </cell>
          <cell r="K34">
            <v>8.09</v>
          </cell>
          <cell r="L34">
            <v>0</v>
          </cell>
          <cell r="M34">
            <v>0</v>
          </cell>
          <cell r="N34">
            <v>116.16999999999999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72.7</v>
          </cell>
        </row>
        <row r="35">
          <cell r="D35">
            <v>20.39</v>
          </cell>
          <cell r="E35">
            <v>104.3</v>
          </cell>
          <cell r="F35">
            <v>0</v>
          </cell>
          <cell r="G35">
            <v>0</v>
          </cell>
          <cell r="H35">
            <v>6787.9199999999973</v>
          </cell>
          <cell r="J35">
            <v>0</v>
          </cell>
          <cell r="K35">
            <v>0.04</v>
          </cell>
          <cell r="L35">
            <v>0</v>
          </cell>
          <cell r="M35">
            <v>0</v>
          </cell>
          <cell r="N35">
            <v>34.17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90.800000000000011</v>
          </cell>
        </row>
        <row r="36">
          <cell r="D36">
            <v>44.61</v>
          </cell>
          <cell r="E36">
            <v>67.759999999999991</v>
          </cell>
          <cell r="F36">
            <v>0</v>
          </cell>
          <cell r="G36">
            <v>0</v>
          </cell>
          <cell r="H36">
            <v>3765.42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30.250000000000039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36.379999999999995</v>
          </cell>
        </row>
        <row r="37">
          <cell r="D37">
            <v>33.06</v>
          </cell>
          <cell r="E37">
            <v>69.08</v>
          </cell>
          <cell r="F37">
            <v>0</v>
          </cell>
          <cell r="G37">
            <v>0</v>
          </cell>
          <cell r="H37">
            <v>5163.5899999999992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26.700000000000003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3.0599999999999996</v>
          </cell>
        </row>
        <row r="40">
          <cell r="D40">
            <v>13.91</v>
          </cell>
          <cell r="E40">
            <v>61</v>
          </cell>
          <cell r="F40">
            <v>0</v>
          </cell>
          <cell r="G40">
            <v>0</v>
          </cell>
          <cell r="H40">
            <v>11918.623999999998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198.73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106.93</v>
          </cell>
        </row>
        <row r="41">
          <cell r="D41">
            <v>10.01</v>
          </cell>
          <cell r="E41">
            <v>122.13000000000001</v>
          </cell>
          <cell r="F41">
            <v>0</v>
          </cell>
          <cell r="G41">
            <v>0</v>
          </cell>
          <cell r="H41">
            <v>8569.528999999995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8.67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141.29000000000002</v>
          </cell>
        </row>
        <row r="42">
          <cell r="D42">
            <v>14.51</v>
          </cell>
          <cell r="E42">
            <v>88.65</v>
          </cell>
          <cell r="F42">
            <v>0</v>
          </cell>
          <cell r="G42">
            <v>0</v>
          </cell>
          <cell r="H42">
            <v>14042.322999999997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15.62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205.35</v>
          </cell>
        </row>
        <row r="43">
          <cell r="D43">
            <v>5.0999999999999996</v>
          </cell>
          <cell r="E43">
            <v>122.88999999999999</v>
          </cell>
          <cell r="F43">
            <v>0</v>
          </cell>
          <cell r="G43">
            <v>0</v>
          </cell>
          <cell r="H43">
            <v>4324.8500000000013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3.5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29.8</v>
          </cell>
        </row>
        <row r="45">
          <cell r="D45">
            <v>9.25</v>
          </cell>
          <cell r="E45">
            <v>104.12</v>
          </cell>
          <cell r="F45">
            <v>0</v>
          </cell>
          <cell r="G45">
            <v>0</v>
          </cell>
          <cell r="H45">
            <v>8467.9320999999982</v>
          </cell>
          <cell r="J45">
            <v>0</v>
          </cell>
          <cell r="K45">
            <v>0.1</v>
          </cell>
          <cell r="L45">
            <v>0</v>
          </cell>
          <cell r="M45">
            <v>0</v>
          </cell>
          <cell r="N45">
            <v>261.14999999999992</v>
          </cell>
          <cell r="P45">
            <v>0</v>
          </cell>
          <cell r="Q45">
            <v>0.06</v>
          </cell>
          <cell r="R45">
            <v>0</v>
          </cell>
          <cell r="S45">
            <v>0</v>
          </cell>
          <cell r="T45">
            <v>84.45</v>
          </cell>
        </row>
        <row r="46">
          <cell r="D46">
            <v>14.81</v>
          </cell>
          <cell r="E46">
            <v>138.4</v>
          </cell>
          <cell r="F46">
            <v>0</v>
          </cell>
          <cell r="G46">
            <v>0</v>
          </cell>
          <cell r="H46">
            <v>8085.635000000002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47.03</v>
          </cell>
        </row>
        <row r="47">
          <cell r="D47">
            <v>7.94</v>
          </cell>
          <cell r="E47">
            <v>279.72999999999996</v>
          </cell>
          <cell r="F47">
            <v>0</v>
          </cell>
          <cell r="G47">
            <v>0</v>
          </cell>
          <cell r="H47">
            <v>9357.4299999999948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3.13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118.94999999999999</v>
          </cell>
        </row>
        <row r="48">
          <cell r="D48">
            <v>2.54</v>
          </cell>
          <cell r="E48">
            <v>39.410000000000004</v>
          </cell>
          <cell r="F48">
            <v>0</v>
          </cell>
          <cell r="G48">
            <v>0</v>
          </cell>
          <cell r="H48">
            <v>8645.3589999999986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5.0249999999999995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4.21</v>
          </cell>
        </row>
        <row r="50">
          <cell r="E50">
            <v>956.32999999999993</v>
          </cell>
          <cell r="G50">
            <v>0</v>
          </cell>
          <cell r="H50">
            <v>73411.682099999976</v>
          </cell>
          <cell r="K50">
            <v>0.1</v>
          </cell>
          <cell r="M50">
            <v>0</v>
          </cell>
          <cell r="N50">
            <v>495.82499999999987</v>
          </cell>
          <cell r="Q50">
            <v>0.06</v>
          </cell>
          <cell r="S50">
            <v>0</v>
          </cell>
          <cell r="T50">
            <v>738.0100000000001</v>
          </cell>
        </row>
      </sheetData>
      <sheetData sheetId="6">
        <row r="7">
          <cell r="D7">
            <v>0</v>
          </cell>
          <cell r="F7">
            <v>0</v>
          </cell>
          <cell r="J7">
            <v>1.48</v>
          </cell>
          <cell r="L7">
            <v>0</v>
          </cell>
          <cell r="P7">
            <v>0</v>
          </cell>
          <cell r="R7">
            <v>0</v>
          </cell>
        </row>
        <row r="8">
          <cell r="D8">
            <v>0</v>
          </cell>
          <cell r="F8">
            <v>0</v>
          </cell>
          <cell r="J8">
            <v>8.24</v>
          </cell>
          <cell r="L8">
            <v>0</v>
          </cell>
          <cell r="P8">
            <v>0</v>
          </cell>
          <cell r="R8">
            <v>0</v>
          </cell>
        </row>
        <row r="9">
          <cell r="D9">
            <v>0</v>
          </cell>
          <cell r="F9">
            <v>0</v>
          </cell>
          <cell r="J9">
            <v>5.18</v>
          </cell>
          <cell r="L9">
            <v>0</v>
          </cell>
          <cell r="P9">
            <v>0</v>
          </cell>
          <cell r="R9">
            <v>0</v>
          </cell>
        </row>
        <row r="10">
          <cell r="D10">
            <v>0</v>
          </cell>
          <cell r="F10">
            <v>0</v>
          </cell>
          <cell r="J10">
            <v>0.375</v>
          </cell>
          <cell r="L10">
            <v>0</v>
          </cell>
          <cell r="P10">
            <v>0</v>
          </cell>
          <cell r="R10">
            <v>0</v>
          </cell>
        </row>
        <row r="12">
          <cell r="D12">
            <v>0</v>
          </cell>
          <cell r="F12">
            <v>0</v>
          </cell>
          <cell r="J12">
            <v>1.35</v>
          </cell>
          <cell r="L12">
            <v>0</v>
          </cell>
          <cell r="P12">
            <v>0</v>
          </cell>
          <cell r="R12">
            <v>0</v>
          </cell>
        </row>
        <row r="13">
          <cell r="D13">
            <v>0</v>
          </cell>
          <cell r="F13">
            <v>0</v>
          </cell>
          <cell r="J13">
            <v>1.29</v>
          </cell>
          <cell r="L13">
            <v>0</v>
          </cell>
          <cell r="P13">
            <v>0</v>
          </cell>
          <cell r="R13">
            <v>0</v>
          </cell>
        </row>
        <row r="14">
          <cell r="D14">
            <v>0</v>
          </cell>
          <cell r="F14">
            <v>0</v>
          </cell>
          <cell r="J14">
            <v>3.58</v>
          </cell>
          <cell r="L14">
            <v>0</v>
          </cell>
          <cell r="P14">
            <v>0</v>
          </cell>
          <cell r="R14">
            <v>0</v>
          </cell>
        </row>
        <row r="16">
          <cell r="D16">
            <v>0.7</v>
          </cell>
          <cell r="F16">
            <v>0</v>
          </cell>
          <cell r="J16">
            <v>1.42</v>
          </cell>
          <cell r="L16">
            <v>0</v>
          </cell>
          <cell r="P16">
            <v>0</v>
          </cell>
          <cell r="R16">
            <v>0.74</v>
          </cell>
        </row>
        <row r="17">
          <cell r="D17">
            <v>0</v>
          </cell>
          <cell r="F17">
            <v>0</v>
          </cell>
          <cell r="J17">
            <v>2.09</v>
          </cell>
          <cell r="L17">
            <v>0</v>
          </cell>
          <cell r="P17">
            <v>0</v>
          </cell>
          <cell r="R17">
            <v>0</v>
          </cell>
        </row>
        <row r="18">
          <cell r="D18">
            <v>0</v>
          </cell>
          <cell r="F18">
            <v>0</v>
          </cell>
          <cell r="J18">
            <v>0.46</v>
          </cell>
          <cell r="L18">
            <v>0</v>
          </cell>
          <cell r="P18">
            <v>0</v>
          </cell>
          <cell r="R18">
            <v>0</v>
          </cell>
        </row>
        <row r="20">
          <cell r="D20">
            <v>0</v>
          </cell>
          <cell r="F20">
            <v>0</v>
          </cell>
          <cell r="J20">
            <v>6.66</v>
          </cell>
          <cell r="L20">
            <v>0</v>
          </cell>
          <cell r="P20">
            <v>0</v>
          </cell>
          <cell r="R20">
            <v>0</v>
          </cell>
        </row>
        <row r="21">
          <cell r="D21">
            <v>0</v>
          </cell>
          <cell r="F21">
            <v>0</v>
          </cell>
          <cell r="J21">
            <v>0.83</v>
          </cell>
          <cell r="L21">
            <v>0</v>
          </cell>
          <cell r="P21">
            <v>0</v>
          </cell>
          <cell r="R21">
            <v>0</v>
          </cell>
        </row>
        <row r="22">
          <cell r="D22">
            <v>0</v>
          </cell>
          <cell r="F22">
            <v>0</v>
          </cell>
          <cell r="J22">
            <v>0.67</v>
          </cell>
          <cell r="L22">
            <v>0</v>
          </cell>
          <cell r="P22">
            <v>0</v>
          </cell>
          <cell r="R22">
            <v>0</v>
          </cell>
        </row>
        <row r="23">
          <cell r="D23">
            <v>35</v>
          </cell>
          <cell r="F23">
            <v>31</v>
          </cell>
          <cell r="J23">
            <v>1.92</v>
          </cell>
          <cell r="L23">
            <v>0</v>
          </cell>
          <cell r="P23">
            <v>0</v>
          </cell>
          <cell r="R23">
            <v>0</v>
          </cell>
        </row>
        <row r="26">
          <cell r="D26">
            <v>7.46</v>
          </cell>
          <cell r="F26">
            <v>0</v>
          </cell>
          <cell r="J26">
            <v>0.12</v>
          </cell>
          <cell r="L26">
            <v>0</v>
          </cell>
          <cell r="P26">
            <v>0</v>
          </cell>
          <cell r="R26">
            <v>0</v>
          </cell>
        </row>
        <row r="27">
          <cell r="D27">
            <v>3.77</v>
          </cell>
          <cell r="F27">
            <v>0</v>
          </cell>
          <cell r="J27">
            <v>1.78</v>
          </cell>
          <cell r="L27">
            <v>0</v>
          </cell>
          <cell r="P27">
            <v>0.78</v>
          </cell>
          <cell r="R27">
            <v>0</v>
          </cell>
        </row>
        <row r="29">
          <cell r="D29">
            <v>1.72</v>
          </cell>
          <cell r="F29">
            <v>0</v>
          </cell>
          <cell r="J29">
            <v>0.05</v>
          </cell>
          <cell r="L29">
            <v>0</v>
          </cell>
          <cell r="P29">
            <v>0</v>
          </cell>
          <cell r="R29">
            <v>0</v>
          </cell>
        </row>
        <row r="30">
          <cell r="D30">
            <v>5.96</v>
          </cell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0.64800000000000002</v>
          </cell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2.17</v>
          </cell>
          <cell r="F32">
            <v>0</v>
          </cell>
          <cell r="J32">
            <v>1.7</v>
          </cell>
          <cell r="L32">
            <v>0</v>
          </cell>
          <cell r="P32">
            <v>0</v>
          </cell>
          <cell r="R32">
            <v>0</v>
          </cell>
        </row>
        <row r="34">
          <cell r="D34">
            <v>2.0499999999999998</v>
          </cell>
          <cell r="F34">
            <v>0</v>
          </cell>
          <cell r="J34">
            <v>0</v>
          </cell>
          <cell r="L34">
            <v>0</v>
          </cell>
          <cell r="P34">
            <v>0</v>
          </cell>
          <cell r="R34">
            <v>0</v>
          </cell>
        </row>
        <row r="35">
          <cell r="D35">
            <v>18.88</v>
          </cell>
          <cell r="F35">
            <v>0</v>
          </cell>
          <cell r="J35">
            <v>0</v>
          </cell>
          <cell r="L35">
            <v>0</v>
          </cell>
          <cell r="P35">
            <v>0</v>
          </cell>
          <cell r="R35">
            <v>0</v>
          </cell>
        </row>
        <row r="36">
          <cell r="D36">
            <v>17.75</v>
          </cell>
          <cell r="F36">
            <v>0</v>
          </cell>
          <cell r="J36">
            <v>0.28000000000000003</v>
          </cell>
          <cell r="L36">
            <v>0</v>
          </cell>
          <cell r="P36">
            <v>0</v>
          </cell>
          <cell r="R36">
            <v>0</v>
          </cell>
        </row>
        <row r="37">
          <cell r="D37">
            <v>32.5</v>
          </cell>
          <cell r="F37">
            <v>0</v>
          </cell>
          <cell r="J37">
            <v>0</v>
          </cell>
          <cell r="L37">
            <v>0</v>
          </cell>
          <cell r="P37">
            <v>0</v>
          </cell>
          <cell r="R37">
            <v>0</v>
          </cell>
        </row>
        <row r="40">
          <cell r="D40">
            <v>12.02</v>
          </cell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D41">
            <v>5.91</v>
          </cell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D42">
            <v>24.745000000000001</v>
          </cell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D43">
            <v>17.32</v>
          </cell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D45">
            <v>5.74</v>
          </cell>
          <cell r="F45">
            <v>0</v>
          </cell>
          <cell r="J45">
            <v>0.35</v>
          </cell>
          <cell r="L45">
            <v>0</v>
          </cell>
          <cell r="P45">
            <v>0.08</v>
          </cell>
          <cell r="R45">
            <v>0</v>
          </cell>
        </row>
        <row r="46">
          <cell r="D46">
            <v>24.69</v>
          </cell>
          <cell r="F46">
            <v>0</v>
          </cell>
          <cell r="J46">
            <v>0</v>
          </cell>
          <cell r="L46">
            <v>0</v>
          </cell>
          <cell r="P46">
            <v>0</v>
          </cell>
          <cell r="R46">
            <v>0</v>
          </cell>
        </row>
        <row r="47">
          <cell r="D47">
            <v>6.4</v>
          </cell>
          <cell r="F47">
            <v>0</v>
          </cell>
          <cell r="J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D48">
            <v>2.4900000000000002</v>
          </cell>
          <cell r="F48">
            <v>0</v>
          </cell>
          <cell r="J48">
            <v>0</v>
          </cell>
          <cell r="L48">
            <v>0</v>
          </cell>
          <cell r="P48">
            <v>0</v>
          </cell>
          <cell r="R48">
            <v>0</v>
          </cell>
        </row>
        <row r="50">
          <cell r="D50">
            <v>99.314999999999998</v>
          </cell>
          <cell r="F50">
            <v>0</v>
          </cell>
          <cell r="J50">
            <v>0.35</v>
          </cell>
          <cell r="L50">
            <v>0</v>
          </cell>
          <cell r="P50">
            <v>0.08</v>
          </cell>
          <cell r="R5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3"/>
      <sheetName val="April 2023"/>
      <sheetName val="May 23"/>
      <sheetName val="June 23"/>
      <sheetName val="July 2023"/>
      <sheetName val="Aug 2023"/>
      <sheetName val="Sep 2023"/>
      <sheetName val="Oct-20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E7">
            <v>0</v>
          </cell>
          <cell r="G7">
            <v>0</v>
          </cell>
          <cell r="H7">
            <v>7.179999999999982</v>
          </cell>
          <cell r="K7">
            <v>11.280000000000001</v>
          </cell>
          <cell r="M7">
            <v>0</v>
          </cell>
          <cell r="N7">
            <v>725.73699999999974</v>
          </cell>
          <cell r="Q7">
            <v>0</v>
          </cell>
          <cell r="S7">
            <v>0</v>
          </cell>
          <cell r="T7">
            <v>8.436000000000007</v>
          </cell>
        </row>
        <row r="8">
          <cell r="E8">
            <v>0</v>
          </cell>
          <cell r="G8">
            <v>0</v>
          </cell>
          <cell r="H8">
            <v>265.98999999999995</v>
          </cell>
          <cell r="K8">
            <v>79.37</v>
          </cell>
          <cell r="M8">
            <v>0</v>
          </cell>
          <cell r="N8">
            <v>477.51600000000013</v>
          </cell>
          <cell r="Q8">
            <v>0</v>
          </cell>
          <cell r="S8">
            <v>0</v>
          </cell>
          <cell r="T8">
            <v>66.290000000000006</v>
          </cell>
        </row>
        <row r="9">
          <cell r="E9">
            <v>0</v>
          </cell>
          <cell r="G9">
            <v>0</v>
          </cell>
          <cell r="H9">
            <v>209.16</v>
          </cell>
          <cell r="K9">
            <v>35.58</v>
          </cell>
          <cell r="M9">
            <v>0</v>
          </cell>
          <cell r="N9">
            <v>938.82799999999986</v>
          </cell>
          <cell r="Q9">
            <v>0</v>
          </cell>
          <cell r="S9">
            <v>0</v>
          </cell>
          <cell r="T9">
            <v>44.739999999999995</v>
          </cell>
        </row>
        <row r="10">
          <cell r="E10">
            <v>0</v>
          </cell>
          <cell r="G10">
            <v>0</v>
          </cell>
          <cell r="H10">
            <v>0</v>
          </cell>
          <cell r="K10">
            <v>6.6280000000000001</v>
          </cell>
          <cell r="M10">
            <v>0</v>
          </cell>
          <cell r="N10">
            <v>371.60099999999989</v>
          </cell>
          <cell r="Q10">
            <v>0</v>
          </cell>
          <cell r="S10">
            <v>0</v>
          </cell>
          <cell r="T10">
            <v>0.20000000000000007</v>
          </cell>
        </row>
        <row r="12">
          <cell r="E12">
            <v>0</v>
          </cell>
          <cell r="G12">
            <v>0</v>
          </cell>
          <cell r="H12">
            <v>22.179999999999609</v>
          </cell>
          <cell r="K12">
            <v>17.32</v>
          </cell>
          <cell r="M12">
            <v>0</v>
          </cell>
          <cell r="N12">
            <v>1293.7549999999997</v>
          </cell>
          <cell r="Q12">
            <v>0</v>
          </cell>
          <cell r="S12">
            <v>0</v>
          </cell>
          <cell r="T12">
            <v>1.9700000000000095</v>
          </cell>
        </row>
        <row r="13">
          <cell r="E13">
            <v>0</v>
          </cell>
          <cell r="G13">
            <v>0</v>
          </cell>
          <cell r="H13">
            <v>312.23000000000013</v>
          </cell>
          <cell r="K13">
            <v>10.530000000000001</v>
          </cell>
          <cell r="M13">
            <v>0</v>
          </cell>
          <cell r="N13">
            <v>556.06200000000024</v>
          </cell>
          <cell r="Q13">
            <v>0</v>
          </cell>
          <cell r="S13">
            <v>0</v>
          </cell>
          <cell r="T13">
            <v>68.39</v>
          </cell>
        </row>
        <row r="14">
          <cell r="E14">
            <v>0</v>
          </cell>
          <cell r="G14">
            <v>0</v>
          </cell>
          <cell r="H14">
            <v>1216.4399999999994</v>
          </cell>
          <cell r="K14">
            <v>28.4</v>
          </cell>
          <cell r="M14">
            <v>0</v>
          </cell>
          <cell r="N14">
            <v>931.89800000000037</v>
          </cell>
          <cell r="Q14">
            <v>0</v>
          </cell>
          <cell r="S14">
            <v>0</v>
          </cell>
          <cell r="T14">
            <v>61.329999999999991</v>
          </cell>
        </row>
        <row r="16">
          <cell r="E16">
            <v>9.7499999999999982</v>
          </cell>
          <cell r="G16">
            <v>6.53</v>
          </cell>
          <cell r="H16">
            <v>759.38400000000047</v>
          </cell>
          <cell r="K16">
            <v>7.32</v>
          </cell>
          <cell r="M16">
            <v>0</v>
          </cell>
          <cell r="N16">
            <v>584.29600000000016</v>
          </cell>
          <cell r="Q16">
            <v>0.08</v>
          </cell>
          <cell r="S16">
            <v>64.17</v>
          </cell>
          <cell r="T16">
            <v>113.35200000000005</v>
          </cell>
        </row>
        <row r="17">
          <cell r="E17">
            <v>0.05</v>
          </cell>
          <cell r="G17">
            <v>0</v>
          </cell>
          <cell r="H17">
            <v>2.7259999999999476</v>
          </cell>
          <cell r="K17">
            <v>18.11</v>
          </cell>
          <cell r="M17">
            <v>0.43</v>
          </cell>
          <cell r="N17">
            <v>606.80000000000007</v>
          </cell>
          <cell r="Q17">
            <v>1.22</v>
          </cell>
          <cell r="S17">
            <v>1.63</v>
          </cell>
          <cell r="T17">
            <v>1.5399999999999998</v>
          </cell>
        </row>
        <row r="18">
          <cell r="E18">
            <v>0.05</v>
          </cell>
          <cell r="G18">
            <v>0.05</v>
          </cell>
          <cell r="H18">
            <v>90.266000000000147</v>
          </cell>
          <cell r="K18">
            <v>6.375</v>
          </cell>
          <cell r="M18">
            <v>0</v>
          </cell>
          <cell r="N18">
            <v>623.67000000000007</v>
          </cell>
          <cell r="Q18">
            <v>0</v>
          </cell>
          <cell r="S18">
            <v>0</v>
          </cell>
          <cell r="T18">
            <v>35.689999999999991</v>
          </cell>
        </row>
        <row r="20">
          <cell r="E20">
            <v>0</v>
          </cell>
          <cell r="G20">
            <v>0</v>
          </cell>
          <cell r="H20">
            <v>607.42999999999984</v>
          </cell>
          <cell r="K20">
            <v>17.46</v>
          </cell>
          <cell r="M20">
            <v>0.02</v>
          </cell>
          <cell r="N20">
            <v>765.84800000000018</v>
          </cell>
          <cell r="Q20">
            <v>0</v>
          </cell>
          <cell r="S20">
            <v>0</v>
          </cell>
          <cell r="T20">
            <v>37.580000000000005</v>
          </cell>
        </row>
        <row r="21">
          <cell r="E21">
            <v>0</v>
          </cell>
          <cell r="G21">
            <v>0.87</v>
          </cell>
          <cell r="H21">
            <v>1.2000000000000002</v>
          </cell>
          <cell r="K21">
            <v>9.370000000000001</v>
          </cell>
          <cell r="M21">
            <v>0.02</v>
          </cell>
          <cell r="N21">
            <v>470.7770000000001</v>
          </cell>
          <cell r="Q21">
            <v>0</v>
          </cell>
          <cell r="S21">
            <v>16.239999999999998</v>
          </cell>
          <cell r="T21">
            <v>2.649999999999995</v>
          </cell>
        </row>
        <row r="22">
          <cell r="E22">
            <v>0</v>
          </cell>
          <cell r="G22">
            <v>0</v>
          </cell>
          <cell r="H22">
            <v>22.430000000000021</v>
          </cell>
          <cell r="K22">
            <v>3.0300000000000002</v>
          </cell>
          <cell r="M22">
            <v>0</v>
          </cell>
          <cell r="N22">
            <v>701.25</v>
          </cell>
          <cell r="Q22">
            <v>0</v>
          </cell>
          <cell r="S22">
            <v>0</v>
          </cell>
          <cell r="T22">
            <v>0.60000000000000098</v>
          </cell>
        </row>
        <row r="23">
          <cell r="E23">
            <v>36.53</v>
          </cell>
          <cell r="G23">
            <v>31</v>
          </cell>
          <cell r="H23">
            <v>436.16999999999996</v>
          </cell>
          <cell r="K23">
            <v>7.15</v>
          </cell>
          <cell r="M23">
            <v>0</v>
          </cell>
          <cell r="N23">
            <v>146.70499999999996</v>
          </cell>
          <cell r="Q23">
            <v>0</v>
          </cell>
          <cell r="S23">
            <v>0</v>
          </cell>
          <cell r="T23">
            <v>22.5</v>
          </cell>
        </row>
        <row r="26">
          <cell r="E26">
            <v>33.5</v>
          </cell>
          <cell r="G26">
            <v>0</v>
          </cell>
          <cell r="H26">
            <v>1661.7900000000002</v>
          </cell>
          <cell r="K26">
            <v>1.27</v>
          </cell>
          <cell r="M26">
            <v>0</v>
          </cell>
          <cell r="N26">
            <v>122.82000000000001</v>
          </cell>
          <cell r="Q26">
            <v>0.12</v>
          </cell>
          <cell r="S26">
            <v>0</v>
          </cell>
          <cell r="T26">
            <v>16.489999999999998</v>
          </cell>
        </row>
        <row r="27">
          <cell r="E27">
            <v>42.300000000000004</v>
          </cell>
          <cell r="G27">
            <v>0.02</v>
          </cell>
          <cell r="H27">
            <v>5727.6550000000043</v>
          </cell>
          <cell r="K27">
            <v>11.409999999999998</v>
          </cell>
          <cell r="M27">
            <v>0.02</v>
          </cell>
          <cell r="N27">
            <v>645.56799999999987</v>
          </cell>
          <cell r="Q27">
            <v>0.83000000000000007</v>
          </cell>
          <cell r="S27">
            <v>0</v>
          </cell>
          <cell r="T27">
            <v>34.630000000000003</v>
          </cell>
        </row>
        <row r="29">
          <cell r="E29">
            <v>135.39000000000001</v>
          </cell>
          <cell r="G29">
            <v>0</v>
          </cell>
          <cell r="H29">
            <v>5016.4280000000008</v>
          </cell>
          <cell r="K29">
            <v>1.53</v>
          </cell>
          <cell r="M29">
            <v>0</v>
          </cell>
          <cell r="N29">
            <v>123.06000000000002</v>
          </cell>
          <cell r="Q29">
            <v>0</v>
          </cell>
          <cell r="S29">
            <v>0</v>
          </cell>
          <cell r="T29">
            <v>34.52000000000001</v>
          </cell>
        </row>
        <row r="30">
          <cell r="E30">
            <v>42.610000000000007</v>
          </cell>
          <cell r="G30">
            <v>0</v>
          </cell>
          <cell r="H30">
            <v>3744.7599999999993</v>
          </cell>
          <cell r="K30">
            <v>33.78</v>
          </cell>
          <cell r="M30">
            <v>0</v>
          </cell>
          <cell r="N30">
            <v>232.36699999999999</v>
          </cell>
          <cell r="Q30">
            <v>0</v>
          </cell>
          <cell r="S30">
            <v>0</v>
          </cell>
          <cell r="T30">
            <v>23.25</v>
          </cell>
        </row>
        <row r="31">
          <cell r="E31">
            <v>9.0599999999999987</v>
          </cell>
          <cell r="G31">
            <v>0</v>
          </cell>
          <cell r="H31">
            <v>4711.5520000000015</v>
          </cell>
          <cell r="K31">
            <v>0.20499999999999999</v>
          </cell>
          <cell r="M31">
            <v>0</v>
          </cell>
          <cell r="N31">
            <v>107.89500000000002</v>
          </cell>
          <cell r="Q31">
            <v>0</v>
          </cell>
          <cell r="S31">
            <v>0</v>
          </cell>
          <cell r="T31">
            <v>14.850000000000001</v>
          </cell>
        </row>
        <row r="32">
          <cell r="E32">
            <v>16.63</v>
          </cell>
          <cell r="G32">
            <v>9.73</v>
          </cell>
          <cell r="H32">
            <v>2380.9257999999991</v>
          </cell>
          <cell r="K32">
            <v>16.207999999999998</v>
          </cell>
          <cell r="M32">
            <v>0</v>
          </cell>
          <cell r="N32">
            <v>109.38400000000003</v>
          </cell>
          <cell r="Q32">
            <v>0</v>
          </cell>
          <cell r="S32">
            <v>0</v>
          </cell>
          <cell r="T32">
            <v>67.551999999999992</v>
          </cell>
        </row>
        <row r="34">
          <cell r="E34">
            <v>26.560000000000002</v>
          </cell>
          <cell r="G34">
            <v>2.72</v>
          </cell>
          <cell r="H34">
            <v>4610.5899999999992</v>
          </cell>
          <cell r="K34">
            <v>8.09</v>
          </cell>
          <cell r="M34">
            <v>0</v>
          </cell>
          <cell r="N34">
            <v>116.16999999999999</v>
          </cell>
          <cell r="Q34">
            <v>0</v>
          </cell>
          <cell r="S34">
            <v>0</v>
          </cell>
          <cell r="T34">
            <v>72.7</v>
          </cell>
        </row>
        <row r="35">
          <cell r="E35">
            <v>123.17999999999999</v>
          </cell>
          <cell r="G35">
            <v>0</v>
          </cell>
          <cell r="H35">
            <v>6806.7999999999975</v>
          </cell>
          <cell r="K35">
            <v>0.04</v>
          </cell>
          <cell r="M35">
            <v>0</v>
          </cell>
          <cell r="N35">
            <v>34.17</v>
          </cell>
          <cell r="Q35">
            <v>0</v>
          </cell>
          <cell r="S35">
            <v>0</v>
          </cell>
          <cell r="T35">
            <v>90.800000000000011</v>
          </cell>
        </row>
        <row r="36">
          <cell r="E36">
            <v>85.509999999999991</v>
          </cell>
          <cell r="G36">
            <v>0</v>
          </cell>
          <cell r="H36">
            <v>3783.17</v>
          </cell>
          <cell r="K36">
            <v>0.28000000000000003</v>
          </cell>
          <cell r="M36">
            <v>0</v>
          </cell>
          <cell r="N36">
            <v>30.53000000000004</v>
          </cell>
          <cell r="Q36">
            <v>0</v>
          </cell>
          <cell r="S36">
            <v>0</v>
          </cell>
          <cell r="T36">
            <v>36.379999999999995</v>
          </cell>
        </row>
        <row r="37">
          <cell r="E37">
            <v>101.58</v>
          </cell>
          <cell r="G37">
            <v>0</v>
          </cell>
          <cell r="H37">
            <v>5196.0899999999992</v>
          </cell>
          <cell r="K37">
            <v>0</v>
          </cell>
          <cell r="M37">
            <v>0</v>
          </cell>
          <cell r="N37">
            <v>26.700000000000003</v>
          </cell>
          <cell r="Q37">
            <v>0</v>
          </cell>
          <cell r="S37">
            <v>0</v>
          </cell>
          <cell r="T37">
            <v>3.0599999999999996</v>
          </cell>
        </row>
        <row r="40">
          <cell r="E40">
            <v>73.02</v>
          </cell>
          <cell r="G40">
            <v>0</v>
          </cell>
          <cell r="H40">
            <v>11930.643999999998</v>
          </cell>
          <cell r="K40">
            <v>0</v>
          </cell>
          <cell r="M40">
            <v>0</v>
          </cell>
          <cell r="N40">
            <v>198.73</v>
          </cell>
          <cell r="Q40">
            <v>0</v>
          </cell>
          <cell r="S40">
            <v>0</v>
          </cell>
          <cell r="T40">
            <v>106.93</v>
          </cell>
        </row>
        <row r="41">
          <cell r="E41">
            <v>128.04000000000002</v>
          </cell>
          <cell r="G41">
            <v>0</v>
          </cell>
          <cell r="H41">
            <v>8575.4389999999948</v>
          </cell>
          <cell r="K41">
            <v>0</v>
          </cell>
          <cell r="M41">
            <v>0</v>
          </cell>
          <cell r="N41">
            <v>8.67</v>
          </cell>
          <cell r="Q41">
            <v>0</v>
          </cell>
          <cell r="S41">
            <v>0</v>
          </cell>
          <cell r="T41">
            <v>141.29000000000002</v>
          </cell>
        </row>
        <row r="42">
          <cell r="E42">
            <v>113.39500000000001</v>
          </cell>
          <cell r="G42">
            <v>0</v>
          </cell>
          <cell r="H42">
            <v>14067.067999999997</v>
          </cell>
          <cell r="K42">
            <v>0</v>
          </cell>
          <cell r="M42">
            <v>0</v>
          </cell>
          <cell r="N42">
            <v>15.62</v>
          </cell>
          <cell r="Q42">
            <v>0</v>
          </cell>
          <cell r="S42">
            <v>0</v>
          </cell>
          <cell r="T42">
            <v>205.35</v>
          </cell>
        </row>
        <row r="43">
          <cell r="E43">
            <v>140.20999999999998</v>
          </cell>
          <cell r="G43">
            <v>0</v>
          </cell>
          <cell r="H43">
            <v>4342.170000000001</v>
          </cell>
          <cell r="K43">
            <v>0</v>
          </cell>
          <cell r="M43">
            <v>0</v>
          </cell>
          <cell r="N43">
            <v>3.5</v>
          </cell>
          <cell r="Q43">
            <v>0</v>
          </cell>
          <cell r="S43">
            <v>0</v>
          </cell>
          <cell r="T43">
            <v>29.8</v>
          </cell>
        </row>
        <row r="45">
          <cell r="E45">
            <v>109.86</v>
          </cell>
          <cell r="G45">
            <v>0</v>
          </cell>
          <cell r="H45">
            <v>8473.672099999998</v>
          </cell>
          <cell r="K45">
            <v>0.44999999999999996</v>
          </cell>
          <cell r="M45">
            <v>0</v>
          </cell>
          <cell r="N45">
            <v>261.49999999999994</v>
          </cell>
          <cell r="Q45">
            <v>0.14000000000000001</v>
          </cell>
          <cell r="S45">
            <v>0</v>
          </cell>
          <cell r="T45">
            <v>84.53</v>
          </cell>
        </row>
        <row r="46">
          <cell r="E46">
            <v>163.09</v>
          </cell>
          <cell r="G46">
            <v>0</v>
          </cell>
          <cell r="H46">
            <v>8110.3250000000016</v>
          </cell>
          <cell r="K46">
            <v>0</v>
          </cell>
          <cell r="M46">
            <v>0</v>
          </cell>
          <cell r="N46">
            <v>0</v>
          </cell>
          <cell r="Q46">
            <v>0</v>
          </cell>
          <cell r="S46">
            <v>0</v>
          </cell>
          <cell r="T46">
            <v>47.03</v>
          </cell>
        </row>
        <row r="47">
          <cell r="E47">
            <v>286.12999999999994</v>
          </cell>
          <cell r="G47">
            <v>0</v>
          </cell>
          <cell r="H47">
            <v>9363.8299999999945</v>
          </cell>
          <cell r="K47">
            <v>0</v>
          </cell>
          <cell r="M47">
            <v>0</v>
          </cell>
          <cell r="N47">
            <v>3.13</v>
          </cell>
          <cell r="Q47">
            <v>0</v>
          </cell>
          <cell r="S47">
            <v>0</v>
          </cell>
          <cell r="T47">
            <v>118.94999999999999</v>
          </cell>
        </row>
        <row r="48">
          <cell r="E48">
            <v>41.900000000000006</v>
          </cell>
          <cell r="G48">
            <v>0</v>
          </cell>
          <cell r="H48">
            <v>8647.8489999999983</v>
          </cell>
          <cell r="K48">
            <v>0</v>
          </cell>
          <cell r="M48">
            <v>0</v>
          </cell>
          <cell r="N48">
            <v>5.0249999999999995</v>
          </cell>
          <cell r="Q48">
            <v>0</v>
          </cell>
          <cell r="S48">
            <v>0</v>
          </cell>
          <cell r="T48">
            <v>4.21</v>
          </cell>
        </row>
      </sheetData>
      <sheetData sheetId="7">
        <row r="7">
          <cell r="D7">
            <v>0</v>
          </cell>
          <cell r="F7">
            <v>0</v>
          </cell>
          <cell r="J7">
            <v>1.22</v>
          </cell>
          <cell r="L7">
            <v>0</v>
          </cell>
          <cell r="P7">
            <v>0</v>
          </cell>
          <cell r="R7">
            <v>0</v>
          </cell>
        </row>
        <row r="8">
          <cell r="D8">
            <v>0</v>
          </cell>
          <cell r="F8">
            <v>0</v>
          </cell>
          <cell r="J8">
            <v>5.72</v>
          </cell>
          <cell r="L8">
            <v>0</v>
          </cell>
          <cell r="P8">
            <v>0</v>
          </cell>
          <cell r="R8">
            <v>0</v>
          </cell>
        </row>
        <row r="9">
          <cell r="D9">
            <v>0</v>
          </cell>
          <cell r="F9">
            <v>0</v>
          </cell>
          <cell r="J9">
            <v>4.8600000000000003</v>
          </cell>
          <cell r="L9">
            <v>0</v>
          </cell>
          <cell r="P9">
            <v>0</v>
          </cell>
          <cell r="R9">
            <v>0</v>
          </cell>
        </row>
        <row r="10">
          <cell r="D10">
            <v>0</v>
          </cell>
          <cell r="F10">
            <v>0</v>
          </cell>
          <cell r="J10">
            <v>0.96</v>
          </cell>
          <cell r="L10">
            <v>0</v>
          </cell>
          <cell r="P10">
            <v>0</v>
          </cell>
          <cell r="R10">
            <v>0</v>
          </cell>
        </row>
        <row r="12">
          <cell r="D12">
            <v>0</v>
          </cell>
          <cell r="F12">
            <v>0</v>
          </cell>
          <cell r="J12">
            <v>1.51</v>
          </cell>
          <cell r="L12">
            <v>0</v>
          </cell>
          <cell r="P12">
            <v>0</v>
          </cell>
          <cell r="R12">
            <v>0</v>
          </cell>
        </row>
        <row r="13">
          <cell r="D13">
            <v>0</v>
          </cell>
          <cell r="F13">
            <v>0</v>
          </cell>
          <cell r="J13">
            <v>1.4</v>
          </cell>
          <cell r="L13">
            <v>0</v>
          </cell>
          <cell r="P13">
            <v>0</v>
          </cell>
          <cell r="R13">
            <v>0</v>
          </cell>
        </row>
        <row r="14">
          <cell r="D14">
            <v>0</v>
          </cell>
          <cell r="F14">
            <v>0</v>
          </cell>
          <cell r="J14">
            <v>2.85</v>
          </cell>
          <cell r="L14">
            <v>0</v>
          </cell>
          <cell r="P14">
            <v>0</v>
          </cell>
          <cell r="R14">
            <v>0</v>
          </cell>
        </row>
        <row r="16">
          <cell r="D16">
            <v>1.59</v>
          </cell>
          <cell r="F16">
            <v>0.71</v>
          </cell>
          <cell r="J16">
            <v>1.37</v>
          </cell>
          <cell r="L16">
            <v>0</v>
          </cell>
          <cell r="P16">
            <v>0.11</v>
          </cell>
          <cell r="R16">
            <v>0</v>
          </cell>
        </row>
        <row r="17">
          <cell r="D17">
            <v>0</v>
          </cell>
          <cell r="F17">
            <v>0</v>
          </cell>
          <cell r="J17">
            <v>2.65</v>
          </cell>
          <cell r="L17">
            <v>0</v>
          </cell>
          <cell r="P17">
            <v>0</v>
          </cell>
          <cell r="R17">
            <v>0</v>
          </cell>
        </row>
        <row r="18">
          <cell r="D18">
            <v>0</v>
          </cell>
          <cell r="F18">
            <v>0</v>
          </cell>
          <cell r="J18">
            <v>1.36</v>
          </cell>
          <cell r="L18">
            <v>0</v>
          </cell>
          <cell r="P18">
            <v>0</v>
          </cell>
          <cell r="R18">
            <v>0</v>
          </cell>
        </row>
        <row r="20">
          <cell r="D20">
            <v>0</v>
          </cell>
          <cell r="F20">
            <v>0</v>
          </cell>
          <cell r="J20">
            <v>6.73</v>
          </cell>
          <cell r="L20">
            <v>0</v>
          </cell>
          <cell r="P20">
            <v>0</v>
          </cell>
          <cell r="R20">
            <v>0</v>
          </cell>
        </row>
        <row r="21">
          <cell r="D21">
            <v>0</v>
          </cell>
          <cell r="F21">
            <v>0</v>
          </cell>
          <cell r="J21">
            <v>0.3</v>
          </cell>
          <cell r="L21">
            <v>0</v>
          </cell>
          <cell r="P21">
            <v>0</v>
          </cell>
          <cell r="R21">
            <v>0</v>
          </cell>
        </row>
        <row r="22">
          <cell r="D22">
            <v>0</v>
          </cell>
          <cell r="F22">
            <v>0</v>
          </cell>
          <cell r="J22">
            <v>0.49</v>
          </cell>
          <cell r="L22">
            <v>0</v>
          </cell>
          <cell r="P22">
            <v>0</v>
          </cell>
          <cell r="R22">
            <v>0</v>
          </cell>
        </row>
        <row r="23">
          <cell r="D23">
            <v>0</v>
          </cell>
          <cell r="F23">
            <v>0</v>
          </cell>
          <cell r="J23">
            <v>0.37</v>
          </cell>
          <cell r="L23">
            <v>0</v>
          </cell>
          <cell r="P23">
            <v>0</v>
          </cell>
          <cell r="R23">
            <v>0</v>
          </cell>
        </row>
        <row r="26">
          <cell r="D26">
            <v>3.3</v>
          </cell>
          <cell r="F26">
            <v>0</v>
          </cell>
          <cell r="J26">
            <v>0.1</v>
          </cell>
          <cell r="L26">
            <v>0</v>
          </cell>
          <cell r="P26">
            <v>0</v>
          </cell>
          <cell r="R26">
            <v>0</v>
          </cell>
        </row>
        <row r="27">
          <cell r="D27">
            <v>5.45</v>
          </cell>
          <cell r="F27">
            <v>0</v>
          </cell>
          <cell r="J27">
            <v>2.14</v>
          </cell>
          <cell r="L27">
            <v>0</v>
          </cell>
          <cell r="P27">
            <v>0</v>
          </cell>
          <cell r="R27">
            <v>0</v>
          </cell>
        </row>
        <row r="29">
          <cell r="D29">
            <v>4.38</v>
          </cell>
          <cell r="F29">
            <v>0</v>
          </cell>
          <cell r="J29">
            <v>0.48</v>
          </cell>
          <cell r="L29">
            <v>0</v>
          </cell>
          <cell r="P29">
            <v>0</v>
          </cell>
          <cell r="R29">
            <v>0</v>
          </cell>
        </row>
        <row r="30">
          <cell r="D30">
            <v>4.62</v>
          </cell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3.28</v>
          </cell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1.83</v>
          </cell>
          <cell r="F32">
            <v>0</v>
          </cell>
          <cell r="J32">
            <v>0.89</v>
          </cell>
          <cell r="L32">
            <v>0</v>
          </cell>
          <cell r="P32">
            <v>0</v>
          </cell>
          <cell r="R32">
            <v>0</v>
          </cell>
        </row>
        <row r="34">
          <cell r="D34">
            <v>3.05</v>
          </cell>
          <cell r="F34">
            <v>0</v>
          </cell>
          <cell r="J34">
            <v>0</v>
          </cell>
          <cell r="L34">
            <v>0</v>
          </cell>
          <cell r="P34">
            <v>0</v>
          </cell>
          <cell r="R34">
            <v>0</v>
          </cell>
        </row>
        <row r="35">
          <cell r="D35">
            <v>8.6999999999999993</v>
          </cell>
          <cell r="F35">
            <v>0</v>
          </cell>
          <cell r="J35">
            <v>0</v>
          </cell>
          <cell r="L35">
            <v>0</v>
          </cell>
          <cell r="P35">
            <v>0</v>
          </cell>
          <cell r="R35">
            <v>0</v>
          </cell>
        </row>
        <row r="36">
          <cell r="D36">
            <v>80.260000000000005</v>
          </cell>
          <cell r="F36">
            <v>0</v>
          </cell>
          <cell r="J36">
            <v>0.54</v>
          </cell>
          <cell r="L36">
            <v>0</v>
          </cell>
          <cell r="P36">
            <v>0</v>
          </cell>
          <cell r="R36">
            <v>0</v>
          </cell>
        </row>
        <row r="37">
          <cell r="D37">
            <v>1.65</v>
          </cell>
          <cell r="F37">
            <v>0</v>
          </cell>
          <cell r="J37">
            <v>0</v>
          </cell>
          <cell r="L37">
            <v>0</v>
          </cell>
          <cell r="P37">
            <v>0</v>
          </cell>
          <cell r="R37">
            <v>0</v>
          </cell>
        </row>
        <row r="40">
          <cell r="D40">
            <v>3.25</v>
          </cell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D41">
            <v>4.54</v>
          </cell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D42">
            <v>20.39</v>
          </cell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D43">
            <v>8.09</v>
          </cell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D45">
            <v>7.08</v>
          </cell>
          <cell r="F45">
            <v>0</v>
          </cell>
          <cell r="J45">
            <v>0.06</v>
          </cell>
          <cell r="L45">
            <v>0</v>
          </cell>
          <cell r="P45">
            <v>0</v>
          </cell>
          <cell r="R45">
            <v>0</v>
          </cell>
        </row>
        <row r="46">
          <cell r="D46">
            <v>13.73</v>
          </cell>
          <cell r="F46">
            <v>0</v>
          </cell>
          <cell r="J46">
            <v>0</v>
          </cell>
          <cell r="L46">
            <v>0</v>
          </cell>
          <cell r="P46">
            <v>0</v>
          </cell>
          <cell r="R46">
            <v>0</v>
          </cell>
        </row>
        <row r="47">
          <cell r="D47">
            <v>5.34</v>
          </cell>
          <cell r="F47">
            <v>0</v>
          </cell>
          <cell r="J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D48">
            <v>9.52</v>
          </cell>
          <cell r="F48">
            <v>0</v>
          </cell>
          <cell r="J48">
            <v>0</v>
          </cell>
          <cell r="L48">
            <v>0</v>
          </cell>
          <cell r="P48">
            <v>0</v>
          </cell>
          <cell r="R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view="pageBreakPreview" topLeftCell="J1" zoomScale="60" zoomScaleNormal="48" workbookViewId="0">
      <pane ySplit="6" topLeftCell="A37" activePane="bottomLeft" state="frozen"/>
      <selection pane="bottomLeft" activeCell="M54" sqref="M54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9.28515625" style="107" customWidth="1"/>
    <col min="4" max="4" width="20.85546875" style="107" customWidth="1"/>
    <col min="5" max="5" width="26.42578125" style="107" customWidth="1"/>
    <col min="6" max="6" width="20.85546875" style="107" customWidth="1"/>
    <col min="7" max="7" width="26.5703125" style="107" customWidth="1"/>
    <col min="8" max="8" width="30.85546875" style="107" customWidth="1"/>
    <col min="9" max="9" width="23" style="129" customWidth="1"/>
    <col min="10" max="10" width="25.85546875" style="107" customWidth="1"/>
    <col min="11" max="12" width="21.28515625" style="107" customWidth="1"/>
    <col min="13" max="13" width="32.28515625" style="107" customWidth="1"/>
    <col min="14" max="14" width="28.425781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23.5703125" style="123" customWidth="1"/>
    <col min="21" max="21" width="31.8554687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92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</row>
    <row r="2" spans="1:22" ht="15" customHeight="1" x14ac:dyDescent="0.35">
      <c r="A2" s="195" t="s">
        <v>72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1:22" ht="32.25" customHeight="1" x14ac:dyDescent="0.3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</row>
    <row r="4" spans="1:22" s="108" customFormat="1" ht="43.5" customHeight="1" x14ac:dyDescent="0.25">
      <c r="A4" s="192" t="s">
        <v>1</v>
      </c>
      <c r="B4" s="192" t="s">
        <v>2</v>
      </c>
      <c r="C4" s="192" t="s">
        <v>3</v>
      </c>
      <c r="D4" s="192"/>
      <c r="E4" s="192"/>
      <c r="F4" s="192"/>
      <c r="G4" s="192"/>
      <c r="H4" s="192"/>
      <c r="I4" s="192" t="s">
        <v>4</v>
      </c>
      <c r="J4" s="193"/>
      <c r="K4" s="193"/>
      <c r="L4" s="193"/>
      <c r="M4" s="193"/>
      <c r="N4" s="193"/>
      <c r="O4" s="192" t="s">
        <v>5</v>
      </c>
      <c r="P4" s="193"/>
      <c r="Q4" s="193"/>
      <c r="R4" s="193"/>
      <c r="S4" s="193"/>
      <c r="T4" s="193"/>
      <c r="U4" s="167"/>
    </row>
    <row r="5" spans="1:22" s="108" customFormat="1" ht="54.75" customHeight="1" x14ac:dyDescent="0.25">
      <c r="A5" s="193"/>
      <c r="B5" s="193"/>
      <c r="C5" s="192" t="s">
        <v>6</v>
      </c>
      <c r="D5" s="192" t="s">
        <v>7</v>
      </c>
      <c r="E5" s="192"/>
      <c r="F5" s="192" t="s">
        <v>8</v>
      </c>
      <c r="G5" s="192"/>
      <c r="H5" s="192" t="s">
        <v>9</v>
      </c>
      <c r="I5" s="192" t="s">
        <v>6</v>
      </c>
      <c r="J5" s="192" t="s">
        <v>7</v>
      </c>
      <c r="K5" s="192"/>
      <c r="L5" s="192" t="s">
        <v>8</v>
      </c>
      <c r="M5" s="192"/>
      <c r="N5" s="192" t="s">
        <v>9</v>
      </c>
      <c r="O5" s="192" t="s">
        <v>6</v>
      </c>
      <c r="P5" s="192" t="s">
        <v>7</v>
      </c>
      <c r="Q5" s="192"/>
      <c r="R5" s="192" t="s">
        <v>8</v>
      </c>
      <c r="S5" s="192"/>
      <c r="T5" s="192" t="s">
        <v>9</v>
      </c>
      <c r="U5" s="192" t="s">
        <v>10</v>
      </c>
    </row>
    <row r="6" spans="1:22" s="108" customFormat="1" ht="38.25" customHeight="1" x14ac:dyDescent="0.25">
      <c r="A6" s="193"/>
      <c r="B6" s="193"/>
      <c r="C6" s="193"/>
      <c r="D6" s="166" t="s">
        <v>11</v>
      </c>
      <c r="E6" s="166" t="s">
        <v>12</v>
      </c>
      <c r="F6" s="166" t="s">
        <v>11</v>
      </c>
      <c r="G6" s="166" t="s">
        <v>12</v>
      </c>
      <c r="H6" s="192"/>
      <c r="I6" s="193"/>
      <c r="J6" s="166" t="s">
        <v>11</v>
      </c>
      <c r="K6" s="166" t="s">
        <v>12</v>
      </c>
      <c r="L6" s="166" t="s">
        <v>11</v>
      </c>
      <c r="M6" s="166" t="s">
        <v>12</v>
      </c>
      <c r="N6" s="192"/>
      <c r="O6" s="193"/>
      <c r="P6" s="166" t="s">
        <v>11</v>
      </c>
      <c r="Q6" s="166" t="s">
        <v>12</v>
      </c>
      <c r="R6" s="166" t="s">
        <v>11</v>
      </c>
      <c r="S6" s="166" t="s">
        <v>12</v>
      </c>
      <c r="T6" s="192"/>
      <c r="U6" s="192"/>
    </row>
    <row r="7" spans="1:22" ht="34.5" customHeight="1" x14ac:dyDescent="0.35">
      <c r="A7" s="167">
        <v>1</v>
      </c>
      <c r="B7" s="167" t="s">
        <v>13</v>
      </c>
      <c r="C7" s="109">
        <v>459.88999999999987</v>
      </c>
      <c r="D7" s="109">
        <v>0</v>
      </c>
      <c r="E7" s="109">
        <v>1.08</v>
      </c>
      <c r="F7" s="109">
        <v>0</v>
      </c>
      <c r="G7" s="109">
        <v>0</v>
      </c>
      <c r="H7" s="109">
        <v>459.88999999999987</v>
      </c>
      <c r="I7" s="109">
        <v>538.59499999999991</v>
      </c>
      <c r="J7" s="109">
        <v>0.08</v>
      </c>
      <c r="K7" s="109">
        <v>13.299999999999999</v>
      </c>
      <c r="L7" s="109">
        <v>0</v>
      </c>
      <c r="M7" s="109">
        <v>0</v>
      </c>
      <c r="N7" s="109">
        <v>538.67499999999995</v>
      </c>
      <c r="O7" s="109">
        <v>70.100000000000009</v>
      </c>
      <c r="P7" s="109">
        <v>0</v>
      </c>
      <c r="Q7" s="109">
        <v>0</v>
      </c>
      <c r="R7" s="109">
        <v>0</v>
      </c>
      <c r="S7" s="109">
        <v>0</v>
      </c>
      <c r="T7" s="109">
        <v>70.100000000000009</v>
      </c>
      <c r="U7" s="109">
        <v>1068.6649999999997</v>
      </c>
    </row>
    <row r="8" spans="1:22" ht="34.5" customHeight="1" x14ac:dyDescent="0.35">
      <c r="A8" s="167">
        <v>2</v>
      </c>
      <c r="B8" s="167" t="s">
        <v>65</v>
      </c>
      <c r="C8" s="109">
        <v>3.64</v>
      </c>
      <c r="D8" s="109">
        <v>0.7</v>
      </c>
      <c r="E8" s="109">
        <v>4.34</v>
      </c>
      <c r="F8" s="109">
        <v>0</v>
      </c>
      <c r="G8" s="109">
        <v>0</v>
      </c>
      <c r="H8" s="109">
        <v>4.34</v>
      </c>
      <c r="I8" s="109">
        <v>51.940000000000012</v>
      </c>
      <c r="J8" s="109">
        <v>1.37</v>
      </c>
      <c r="K8" s="109">
        <v>19.880000000000003</v>
      </c>
      <c r="L8" s="109">
        <v>0</v>
      </c>
      <c r="M8" s="109">
        <v>0</v>
      </c>
      <c r="N8" s="109">
        <v>53.310000000000009</v>
      </c>
      <c r="O8" s="109">
        <v>0.21000000000000002</v>
      </c>
      <c r="P8" s="109">
        <v>0</v>
      </c>
      <c r="Q8" s="109">
        <v>0</v>
      </c>
      <c r="R8" s="109">
        <v>0</v>
      </c>
      <c r="S8" s="109">
        <v>0</v>
      </c>
      <c r="T8" s="109">
        <v>0.21000000000000002</v>
      </c>
      <c r="U8" s="109">
        <v>57.860000000000007</v>
      </c>
    </row>
    <row r="9" spans="1:22" ht="34.5" customHeight="1" x14ac:dyDescent="0.35">
      <c r="A9" s="167">
        <v>3</v>
      </c>
      <c r="B9" s="167" t="s">
        <v>14</v>
      </c>
      <c r="C9" s="109">
        <v>309.7600000000001</v>
      </c>
      <c r="D9" s="109">
        <v>0</v>
      </c>
      <c r="E9" s="109">
        <v>0</v>
      </c>
      <c r="F9" s="109">
        <v>0</v>
      </c>
      <c r="G9" s="109">
        <v>0</v>
      </c>
      <c r="H9" s="109">
        <v>309.7600000000001</v>
      </c>
      <c r="I9" s="109">
        <v>437.78000000000014</v>
      </c>
      <c r="J9" s="109">
        <v>0.25</v>
      </c>
      <c r="K9" s="109">
        <v>17.55</v>
      </c>
      <c r="L9" s="109">
        <v>0</v>
      </c>
      <c r="M9" s="109">
        <v>0</v>
      </c>
      <c r="N9" s="109">
        <v>438.03000000000014</v>
      </c>
      <c r="O9" s="109">
        <v>44.809999999999995</v>
      </c>
      <c r="P9" s="109">
        <v>0</v>
      </c>
      <c r="Q9" s="109">
        <v>0.49</v>
      </c>
      <c r="R9" s="109">
        <v>0</v>
      </c>
      <c r="S9" s="109">
        <v>0</v>
      </c>
      <c r="T9" s="109">
        <v>44.809999999999995</v>
      </c>
      <c r="U9" s="109">
        <v>792.60000000000014</v>
      </c>
    </row>
    <row r="10" spans="1:22" s="111" customFormat="1" ht="34.5" customHeight="1" x14ac:dyDescent="0.4">
      <c r="A10" s="167">
        <v>4</v>
      </c>
      <c r="B10" s="167" t="s">
        <v>15</v>
      </c>
      <c r="C10" s="109">
        <v>7.36</v>
      </c>
      <c r="D10" s="109">
        <v>0</v>
      </c>
      <c r="E10" s="109">
        <v>0</v>
      </c>
      <c r="F10" s="109">
        <v>0</v>
      </c>
      <c r="G10" s="109">
        <v>0</v>
      </c>
      <c r="H10" s="109">
        <v>7.36</v>
      </c>
      <c r="I10" s="109">
        <v>473.49999999999989</v>
      </c>
      <c r="J10" s="109">
        <v>0.17</v>
      </c>
      <c r="K10" s="109">
        <v>125.39</v>
      </c>
      <c r="L10" s="109">
        <v>0</v>
      </c>
      <c r="M10" s="109">
        <v>0</v>
      </c>
      <c r="N10" s="109">
        <v>473.6699999999999</v>
      </c>
      <c r="O10" s="109">
        <v>0.8</v>
      </c>
      <c r="P10" s="109">
        <v>0</v>
      </c>
      <c r="Q10" s="109">
        <v>0.2</v>
      </c>
      <c r="R10" s="109">
        <v>0</v>
      </c>
      <c r="S10" s="109">
        <v>0</v>
      </c>
      <c r="T10" s="109">
        <v>0.8</v>
      </c>
      <c r="U10" s="109">
        <v>481.82999999999993</v>
      </c>
      <c r="V10" s="110"/>
    </row>
    <row r="11" spans="1:22" s="111" customFormat="1" ht="34.5" customHeight="1" x14ac:dyDescent="0.4">
      <c r="A11" s="166"/>
      <c r="B11" s="166" t="s">
        <v>16</v>
      </c>
      <c r="C11" s="110">
        <v>780.65</v>
      </c>
      <c r="D11" s="110">
        <v>0.7</v>
      </c>
      <c r="E11" s="110">
        <v>5.42</v>
      </c>
      <c r="F11" s="110">
        <v>0</v>
      </c>
      <c r="G11" s="110">
        <v>0</v>
      </c>
      <c r="H11" s="110">
        <v>781.35</v>
      </c>
      <c r="I11" s="110">
        <v>1501.8150000000001</v>
      </c>
      <c r="J11" s="110">
        <v>1.87</v>
      </c>
      <c r="K11" s="110">
        <v>176.12</v>
      </c>
      <c r="L11" s="110">
        <v>0</v>
      </c>
      <c r="M11" s="110">
        <v>0</v>
      </c>
      <c r="N11" s="110">
        <v>1503.6849999999999</v>
      </c>
      <c r="O11" s="110">
        <v>115.92</v>
      </c>
      <c r="P11" s="110">
        <v>0</v>
      </c>
      <c r="Q11" s="110">
        <v>0.69</v>
      </c>
      <c r="R11" s="110">
        <v>0</v>
      </c>
      <c r="S11" s="110">
        <v>0</v>
      </c>
      <c r="T11" s="110">
        <v>115.92</v>
      </c>
      <c r="U11" s="110">
        <v>2400.9549999999999</v>
      </c>
    </row>
    <row r="12" spans="1:22" ht="34.5" customHeight="1" x14ac:dyDescent="0.35">
      <c r="A12" s="167">
        <v>5</v>
      </c>
      <c r="B12" s="167" t="s">
        <v>17</v>
      </c>
      <c r="C12" s="109">
        <v>567.25999999999965</v>
      </c>
      <c r="D12" s="109">
        <v>0</v>
      </c>
      <c r="E12" s="109">
        <v>0</v>
      </c>
      <c r="F12" s="109">
        <v>0</v>
      </c>
      <c r="G12" s="109">
        <v>0</v>
      </c>
      <c r="H12" s="109">
        <v>567.25999999999965</v>
      </c>
      <c r="I12" s="109">
        <v>704.86999999999978</v>
      </c>
      <c r="J12" s="109">
        <v>0.35</v>
      </c>
      <c r="K12" s="109">
        <v>29.43</v>
      </c>
      <c r="L12" s="109">
        <v>0</v>
      </c>
      <c r="M12" s="109">
        <v>0</v>
      </c>
      <c r="N12" s="109">
        <v>705.2199999999998</v>
      </c>
      <c r="O12" s="109">
        <v>40.430000000000007</v>
      </c>
      <c r="P12" s="109">
        <v>0</v>
      </c>
      <c r="Q12" s="109">
        <v>0</v>
      </c>
      <c r="R12" s="109">
        <v>0</v>
      </c>
      <c r="S12" s="109">
        <v>0</v>
      </c>
      <c r="T12" s="109">
        <v>40.430000000000007</v>
      </c>
      <c r="U12" s="109">
        <v>1312.9099999999996</v>
      </c>
    </row>
    <row r="13" spans="1:22" ht="34.5" customHeight="1" x14ac:dyDescent="0.35">
      <c r="A13" s="167">
        <v>6</v>
      </c>
      <c r="B13" s="167" t="s">
        <v>18</v>
      </c>
      <c r="C13" s="109">
        <v>315.62000000000012</v>
      </c>
      <c r="D13" s="109">
        <v>0</v>
      </c>
      <c r="E13" s="109">
        <v>0.86</v>
      </c>
      <c r="F13" s="109">
        <v>0</v>
      </c>
      <c r="G13" s="109">
        <v>0</v>
      </c>
      <c r="H13" s="109">
        <v>315.62000000000012</v>
      </c>
      <c r="I13" s="109">
        <v>492.59000000000009</v>
      </c>
      <c r="J13" s="109">
        <v>0.94</v>
      </c>
      <c r="K13" s="109">
        <v>12.139999999999999</v>
      </c>
      <c r="L13" s="109">
        <v>0</v>
      </c>
      <c r="M13" s="109">
        <v>0</v>
      </c>
      <c r="N13" s="109">
        <v>493.53000000000009</v>
      </c>
      <c r="O13" s="109">
        <v>21.49</v>
      </c>
      <c r="P13" s="109">
        <v>0</v>
      </c>
      <c r="Q13" s="109">
        <v>0.32</v>
      </c>
      <c r="R13" s="109">
        <v>0</v>
      </c>
      <c r="S13" s="109">
        <v>0</v>
      </c>
      <c r="T13" s="109">
        <v>21.49</v>
      </c>
      <c r="U13" s="109">
        <v>830.64000000000021</v>
      </c>
    </row>
    <row r="14" spans="1:22" s="111" customFormat="1" ht="34.5" customHeight="1" x14ac:dyDescent="0.4">
      <c r="A14" s="167">
        <v>7</v>
      </c>
      <c r="B14" s="167" t="s">
        <v>19</v>
      </c>
      <c r="C14" s="109">
        <v>1510.9799999999996</v>
      </c>
      <c r="D14" s="109">
        <v>0</v>
      </c>
      <c r="E14" s="109">
        <v>2.91</v>
      </c>
      <c r="F14" s="109">
        <v>0</v>
      </c>
      <c r="G14" s="109">
        <v>0</v>
      </c>
      <c r="H14" s="109">
        <v>1510.9799999999996</v>
      </c>
      <c r="I14" s="109">
        <v>555.1600000000002</v>
      </c>
      <c r="J14" s="109">
        <v>3.57</v>
      </c>
      <c r="K14" s="109">
        <v>79.680000000000007</v>
      </c>
      <c r="L14" s="109">
        <v>0</v>
      </c>
      <c r="M14" s="109">
        <v>0</v>
      </c>
      <c r="N14" s="109">
        <v>558.73000000000025</v>
      </c>
      <c r="O14" s="109">
        <v>57.759999999999991</v>
      </c>
      <c r="P14" s="109">
        <v>0.04</v>
      </c>
      <c r="Q14" s="109">
        <v>0.04</v>
      </c>
      <c r="R14" s="109">
        <v>0</v>
      </c>
      <c r="S14" s="109">
        <v>0</v>
      </c>
      <c r="T14" s="109">
        <v>57.79999999999999</v>
      </c>
      <c r="U14" s="109">
        <v>2127.5100000000002</v>
      </c>
      <c r="V14" s="164"/>
    </row>
    <row r="15" spans="1:22" s="111" customFormat="1" ht="34.5" customHeight="1" x14ac:dyDescent="0.4">
      <c r="A15" s="166"/>
      <c r="B15" s="166" t="s">
        <v>20</v>
      </c>
      <c r="C15" s="110">
        <v>2393.8599999999992</v>
      </c>
      <c r="D15" s="110">
        <v>0</v>
      </c>
      <c r="E15" s="110">
        <v>3.77</v>
      </c>
      <c r="F15" s="110">
        <v>0</v>
      </c>
      <c r="G15" s="110">
        <v>0</v>
      </c>
      <c r="H15" s="110">
        <v>2393.8599999999992</v>
      </c>
      <c r="I15" s="110">
        <v>1752.62</v>
      </c>
      <c r="J15" s="110">
        <v>4.8599999999999994</v>
      </c>
      <c r="K15" s="110">
        <v>121.25</v>
      </c>
      <c r="L15" s="110">
        <v>0</v>
      </c>
      <c r="M15" s="110">
        <v>0</v>
      </c>
      <c r="N15" s="110">
        <v>1757.4800000000002</v>
      </c>
      <c r="O15" s="110">
        <v>119.67999999999999</v>
      </c>
      <c r="P15" s="110">
        <v>0.04</v>
      </c>
      <c r="Q15" s="110">
        <v>0.36</v>
      </c>
      <c r="R15" s="110">
        <v>0</v>
      </c>
      <c r="S15" s="110">
        <v>0</v>
      </c>
      <c r="T15" s="110">
        <v>119.72</v>
      </c>
      <c r="U15" s="110">
        <v>4271.0599999999995</v>
      </c>
    </row>
    <row r="16" spans="1:22" s="112" customFormat="1" ht="34.5" customHeight="1" x14ac:dyDescent="0.35">
      <c r="A16" s="167">
        <v>8</v>
      </c>
      <c r="B16" s="167" t="s">
        <v>21</v>
      </c>
      <c r="C16" s="109">
        <v>994.92400000000032</v>
      </c>
      <c r="D16" s="109">
        <v>0.45</v>
      </c>
      <c r="E16" s="109">
        <v>26.261999999999997</v>
      </c>
      <c r="F16" s="109">
        <v>0</v>
      </c>
      <c r="G16" s="109">
        <v>0</v>
      </c>
      <c r="H16" s="109">
        <v>995.37400000000036</v>
      </c>
      <c r="I16" s="109">
        <v>101.22599999999997</v>
      </c>
      <c r="J16" s="109">
        <v>4.3499999999999996</v>
      </c>
      <c r="K16" s="109">
        <v>27.482999999999997</v>
      </c>
      <c r="L16" s="109">
        <v>0</v>
      </c>
      <c r="M16" s="109">
        <v>0</v>
      </c>
      <c r="N16" s="109">
        <v>105.57599999999996</v>
      </c>
      <c r="O16" s="109">
        <v>245.88200000000001</v>
      </c>
      <c r="P16" s="109">
        <v>0</v>
      </c>
      <c r="Q16" s="109">
        <v>0</v>
      </c>
      <c r="R16" s="109">
        <v>0</v>
      </c>
      <c r="S16" s="109">
        <v>0</v>
      </c>
      <c r="T16" s="109">
        <v>245.88200000000001</v>
      </c>
      <c r="U16" s="109">
        <v>1346.8320000000003</v>
      </c>
    </row>
    <row r="17" spans="1:22" ht="34.5" customHeight="1" x14ac:dyDescent="0.35">
      <c r="A17" s="113">
        <v>9</v>
      </c>
      <c r="B17" s="113" t="s">
        <v>22</v>
      </c>
      <c r="C17" s="109">
        <v>183.33799999999994</v>
      </c>
      <c r="D17" s="114">
        <v>0</v>
      </c>
      <c r="E17" s="109">
        <v>1.1180000000000001</v>
      </c>
      <c r="F17" s="114">
        <v>0</v>
      </c>
      <c r="G17" s="109">
        <v>0</v>
      </c>
      <c r="H17" s="109">
        <v>183.33799999999994</v>
      </c>
      <c r="I17" s="109">
        <v>324.0560000000001</v>
      </c>
      <c r="J17" s="114">
        <v>1.62</v>
      </c>
      <c r="K17" s="109">
        <v>10.169999999999998</v>
      </c>
      <c r="L17" s="114">
        <v>0</v>
      </c>
      <c r="M17" s="109">
        <v>0</v>
      </c>
      <c r="N17" s="109">
        <v>325.6760000000001</v>
      </c>
      <c r="O17" s="109">
        <v>57.395000000000003</v>
      </c>
      <c r="P17" s="114">
        <v>6.98</v>
      </c>
      <c r="Q17" s="109">
        <v>18.815000000000001</v>
      </c>
      <c r="R17" s="114">
        <v>0</v>
      </c>
      <c r="S17" s="109">
        <v>0</v>
      </c>
      <c r="T17" s="109">
        <v>64.375</v>
      </c>
      <c r="U17" s="109">
        <v>573.38900000000001</v>
      </c>
    </row>
    <row r="18" spans="1:22" s="111" customFormat="1" ht="34.5" customHeight="1" x14ac:dyDescent="0.4">
      <c r="A18" s="167">
        <v>10</v>
      </c>
      <c r="B18" s="167" t="s">
        <v>23</v>
      </c>
      <c r="C18" s="109">
        <v>209.44600000000005</v>
      </c>
      <c r="D18" s="109">
        <v>0</v>
      </c>
      <c r="E18" s="109">
        <v>6.1259999999999994</v>
      </c>
      <c r="F18" s="109">
        <v>0</v>
      </c>
      <c r="G18" s="109">
        <v>0</v>
      </c>
      <c r="H18" s="109">
        <v>209.44600000000005</v>
      </c>
      <c r="I18" s="109">
        <v>338.76099999999991</v>
      </c>
      <c r="J18" s="109">
        <v>0.34</v>
      </c>
      <c r="K18" s="109">
        <v>7.5529999999999999</v>
      </c>
      <c r="L18" s="109">
        <v>0</v>
      </c>
      <c r="M18" s="109">
        <v>0</v>
      </c>
      <c r="N18" s="109">
        <v>339.10099999999989</v>
      </c>
      <c r="O18" s="109">
        <v>8.3749999999999982</v>
      </c>
      <c r="P18" s="109">
        <v>0</v>
      </c>
      <c r="Q18" s="109">
        <v>0</v>
      </c>
      <c r="R18" s="109">
        <v>0</v>
      </c>
      <c r="S18" s="109">
        <v>0</v>
      </c>
      <c r="T18" s="109">
        <v>8.3749999999999982</v>
      </c>
      <c r="U18" s="109">
        <v>556.92199999999991</v>
      </c>
      <c r="V18" s="164"/>
    </row>
    <row r="19" spans="1:22" s="111" customFormat="1" ht="34.5" customHeight="1" x14ac:dyDescent="0.4">
      <c r="A19" s="166"/>
      <c r="B19" s="166" t="s">
        <v>24</v>
      </c>
      <c r="C19" s="110">
        <v>1387.7080000000003</v>
      </c>
      <c r="D19" s="110">
        <v>0.45</v>
      </c>
      <c r="E19" s="110">
        <v>33.505999999999993</v>
      </c>
      <c r="F19" s="110">
        <v>0</v>
      </c>
      <c r="G19" s="110">
        <v>0</v>
      </c>
      <c r="H19" s="110">
        <v>1388.1580000000004</v>
      </c>
      <c r="I19" s="110">
        <v>764.04299999999989</v>
      </c>
      <c r="J19" s="110">
        <v>6.31</v>
      </c>
      <c r="K19" s="110">
        <v>45.205999999999989</v>
      </c>
      <c r="L19" s="110">
        <v>0</v>
      </c>
      <c r="M19" s="110">
        <v>0</v>
      </c>
      <c r="N19" s="110">
        <v>770.35299999999995</v>
      </c>
      <c r="O19" s="110">
        <v>311.65199999999999</v>
      </c>
      <c r="P19" s="110">
        <v>6.98</v>
      </c>
      <c r="Q19" s="110">
        <v>18.815000000000001</v>
      </c>
      <c r="R19" s="110">
        <v>0</v>
      </c>
      <c r="S19" s="110">
        <v>0</v>
      </c>
      <c r="T19" s="110">
        <v>318.63200000000001</v>
      </c>
      <c r="U19" s="110">
        <v>2477.1430000000005</v>
      </c>
    </row>
    <row r="20" spans="1:22" ht="34.5" customHeight="1" x14ac:dyDescent="0.35">
      <c r="A20" s="167">
        <v>11</v>
      </c>
      <c r="B20" s="167" t="s">
        <v>25</v>
      </c>
      <c r="C20" s="109">
        <v>632.28000000000009</v>
      </c>
      <c r="D20" s="109">
        <v>0.08</v>
      </c>
      <c r="E20" s="109">
        <v>7.36</v>
      </c>
      <c r="F20" s="109">
        <v>0</v>
      </c>
      <c r="G20" s="109">
        <v>0.1</v>
      </c>
      <c r="H20" s="109">
        <v>632.36000000000013</v>
      </c>
      <c r="I20" s="109">
        <v>370.45000000000005</v>
      </c>
      <c r="J20" s="109">
        <v>0.51</v>
      </c>
      <c r="K20" s="109">
        <v>40.33</v>
      </c>
      <c r="L20" s="109">
        <v>0</v>
      </c>
      <c r="M20" s="109">
        <v>0</v>
      </c>
      <c r="N20" s="109">
        <v>370.96000000000004</v>
      </c>
      <c r="O20" s="109">
        <v>40.190000000000005</v>
      </c>
      <c r="P20" s="109">
        <v>0</v>
      </c>
      <c r="Q20" s="109">
        <v>0.64</v>
      </c>
      <c r="R20" s="109">
        <v>0</v>
      </c>
      <c r="S20" s="109">
        <v>0</v>
      </c>
      <c r="T20" s="109">
        <v>40.190000000000005</v>
      </c>
      <c r="U20" s="109">
        <v>1043.5100000000002</v>
      </c>
    </row>
    <row r="21" spans="1:22" ht="34.5" customHeight="1" x14ac:dyDescent="0.35">
      <c r="A21" s="167">
        <v>12</v>
      </c>
      <c r="B21" s="167" t="s">
        <v>26</v>
      </c>
      <c r="C21" s="109">
        <v>18.829999999999995</v>
      </c>
      <c r="D21" s="109">
        <v>0.09</v>
      </c>
      <c r="E21" s="109">
        <v>5.8299999999999992</v>
      </c>
      <c r="F21" s="109">
        <v>0</v>
      </c>
      <c r="G21" s="109">
        <v>0</v>
      </c>
      <c r="H21" s="109">
        <v>18.919999999999995</v>
      </c>
      <c r="I21" s="109">
        <v>364.96300000000002</v>
      </c>
      <c r="J21" s="109">
        <v>0.25</v>
      </c>
      <c r="K21" s="109">
        <v>13.02</v>
      </c>
      <c r="L21" s="109">
        <v>0</v>
      </c>
      <c r="M21" s="109">
        <v>0</v>
      </c>
      <c r="N21" s="109">
        <v>365.21300000000002</v>
      </c>
      <c r="O21" s="109">
        <v>19.559999999999999</v>
      </c>
      <c r="P21" s="109">
        <v>0</v>
      </c>
      <c r="Q21" s="109">
        <v>0.02</v>
      </c>
      <c r="R21" s="109">
        <v>0</v>
      </c>
      <c r="S21" s="109">
        <v>0</v>
      </c>
      <c r="T21" s="109">
        <v>19.559999999999999</v>
      </c>
      <c r="U21" s="109">
        <v>403.69300000000004</v>
      </c>
    </row>
    <row r="22" spans="1:22" s="111" customFormat="1" ht="34.5" customHeight="1" x14ac:dyDescent="0.4">
      <c r="A22" s="167">
        <v>13</v>
      </c>
      <c r="B22" s="167" t="s">
        <v>27</v>
      </c>
      <c r="C22" s="109">
        <v>282.79000000000002</v>
      </c>
      <c r="D22" s="109">
        <v>0</v>
      </c>
      <c r="E22" s="109">
        <v>6.3</v>
      </c>
      <c r="F22" s="109">
        <v>0</v>
      </c>
      <c r="G22" s="109">
        <v>0</v>
      </c>
      <c r="H22" s="109">
        <v>282.79000000000002</v>
      </c>
      <c r="I22" s="109">
        <v>142.46</v>
      </c>
      <c r="J22" s="109">
        <v>0.44</v>
      </c>
      <c r="K22" s="109">
        <v>5.3200000000000012</v>
      </c>
      <c r="L22" s="109">
        <v>0</v>
      </c>
      <c r="M22" s="109">
        <v>0</v>
      </c>
      <c r="N22" s="109">
        <v>142.9</v>
      </c>
      <c r="O22" s="109">
        <v>13.350000000000001</v>
      </c>
      <c r="P22" s="109">
        <v>0</v>
      </c>
      <c r="Q22" s="109">
        <v>0</v>
      </c>
      <c r="R22" s="109">
        <v>0</v>
      </c>
      <c r="S22" s="109">
        <v>0</v>
      </c>
      <c r="T22" s="109">
        <v>13.350000000000001</v>
      </c>
      <c r="U22" s="109">
        <v>439.04000000000008</v>
      </c>
      <c r="V22" s="164"/>
    </row>
    <row r="23" spans="1:22" s="111" customFormat="1" ht="34.5" customHeight="1" x14ac:dyDescent="0.4">
      <c r="A23" s="167">
        <v>14</v>
      </c>
      <c r="B23" s="167" t="s">
        <v>71</v>
      </c>
      <c r="C23" s="109">
        <v>410.12999999999994</v>
      </c>
      <c r="D23" s="109">
        <v>2.2000000000000002</v>
      </c>
      <c r="E23" s="109">
        <v>21.47</v>
      </c>
      <c r="F23" s="109">
        <v>0</v>
      </c>
      <c r="G23" s="109">
        <v>0.1</v>
      </c>
      <c r="H23" s="109">
        <v>412.32999999999993</v>
      </c>
      <c r="I23" s="109">
        <v>72.300000000000011</v>
      </c>
      <c r="J23" s="109">
        <v>0.18</v>
      </c>
      <c r="K23" s="109">
        <v>44.199999999999989</v>
      </c>
      <c r="L23" s="109">
        <v>0.1</v>
      </c>
      <c r="M23" s="109">
        <v>0.1</v>
      </c>
      <c r="N23" s="109">
        <v>72.38000000000001</v>
      </c>
      <c r="O23" s="109">
        <v>22.5</v>
      </c>
      <c r="P23" s="109">
        <v>0</v>
      </c>
      <c r="Q23" s="109">
        <v>0.22999999999999998</v>
      </c>
      <c r="R23" s="109">
        <v>0</v>
      </c>
      <c r="S23" s="109">
        <v>0</v>
      </c>
      <c r="T23" s="109">
        <v>22.5</v>
      </c>
      <c r="U23" s="109">
        <v>507.20999999999992</v>
      </c>
      <c r="V23" s="164"/>
    </row>
    <row r="24" spans="1:22" s="111" customFormat="1" ht="34.5" customHeight="1" x14ac:dyDescent="0.4">
      <c r="A24" s="166"/>
      <c r="B24" s="166" t="s">
        <v>28</v>
      </c>
      <c r="C24" s="110">
        <v>1344.03</v>
      </c>
      <c r="D24" s="110">
        <v>2.37</v>
      </c>
      <c r="E24" s="110">
        <v>40.959999999999994</v>
      </c>
      <c r="F24" s="110">
        <v>0</v>
      </c>
      <c r="G24" s="110">
        <v>0.2</v>
      </c>
      <c r="H24" s="110">
        <v>1346.4</v>
      </c>
      <c r="I24" s="110">
        <v>950.173</v>
      </c>
      <c r="J24" s="110">
        <v>1.38</v>
      </c>
      <c r="K24" s="110">
        <v>102.86999999999998</v>
      </c>
      <c r="L24" s="110">
        <v>0.1</v>
      </c>
      <c r="M24" s="110">
        <v>0.1</v>
      </c>
      <c r="N24" s="110">
        <v>951.45299999999997</v>
      </c>
      <c r="O24" s="110">
        <v>95.6</v>
      </c>
      <c r="P24" s="110">
        <v>0</v>
      </c>
      <c r="Q24" s="110">
        <v>0.89</v>
      </c>
      <c r="R24" s="110">
        <v>0</v>
      </c>
      <c r="S24" s="110">
        <v>0</v>
      </c>
      <c r="T24" s="110">
        <v>95.6</v>
      </c>
      <c r="U24" s="110">
        <v>2393.4530000000004</v>
      </c>
    </row>
    <row r="25" spans="1:22" s="111" customFormat="1" ht="34.5" customHeight="1" x14ac:dyDescent="0.4">
      <c r="A25" s="166"/>
      <c r="B25" s="166" t="s">
        <v>29</v>
      </c>
      <c r="C25" s="110">
        <v>5906.2479999999996</v>
      </c>
      <c r="D25" s="110">
        <v>3.5200000000000005</v>
      </c>
      <c r="E25" s="110">
        <v>83.655999999999977</v>
      </c>
      <c r="F25" s="110">
        <v>0</v>
      </c>
      <c r="G25" s="110">
        <v>0.2</v>
      </c>
      <c r="H25" s="110">
        <v>5909.768</v>
      </c>
      <c r="I25" s="110">
        <v>4968.6509999999998</v>
      </c>
      <c r="J25" s="110">
        <v>14.419999999999998</v>
      </c>
      <c r="K25" s="110">
        <v>445.44599999999997</v>
      </c>
      <c r="L25" s="110">
        <v>0.1</v>
      </c>
      <c r="M25" s="110">
        <v>0.1</v>
      </c>
      <c r="N25" s="110">
        <v>4982.9709999999995</v>
      </c>
      <c r="O25" s="110">
        <v>642.85199999999986</v>
      </c>
      <c r="P25" s="110">
        <v>7.0200000000000005</v>
      </c>
      <c r="Q25" s="110">
        <v>20.755000000000003</v>
      </c>
      <c r="R25" s="110">
        <v>0</v>
      </c>
      <c r="S25" s="110">
        <v>0</v>
      </c>
      <c r="T25" s="110">
        <v>649.87199999999996</v>
      </c>
      <c r="U25" s="110">
        <v>11542.611000000001</v>
      </c>
    </row>
    <row r="26" spans="1:22" ht="34.5" customHeight="1" x14ac:dyDescent="0.35">
      <c r="A26" s="167">
        <v>15</v>
      </c>
      <c r="B26" s="167" t="s">
        <v>30</v>
      </c>
      <c r="C26" s="109">
        <v>7143.4199999999983</v>
      </c>
      <c r="D26" s="109">
        <v>17.86</v>
      </c>
      <c r="E26" s="109">
        <v>215.39999999999998</v>
      </c>
      <c r="F26" s="109">
        <v>0</v>
      </c>
      <c r="G26" s="109">
        <v>0</v>
      </c>
      <c r="H26" s="109">
        <v>7161.2799999999979</v>
      </c>
      <c r="I26" s="109">
        <v>58.64</v>
      </c>
      <c r="J26" s="109">
        <v>0.1</v>
      </c>
      <c r="K26" s="109">
        <v>9.34</v>
      </c>
      <c r="L26" s="109">
        <v>0</v>
      </c>
      <c r="M26" s="109">
        <v>0</v>
      </c>
      <c r="N26" s="109">
        <v>58.74</v>
      </c>
      <c r="O26" s="109">
        <v>1.02</v>
      </c>
      <c r="P26" s="109">
        <v>0</v>
      </c>
      <c r="Q26" s="109">
        <v>0.59</v>
      </c>
      <c r="R26" s="109">
        <v>0</v>
      </c>
      <c r="S26" s="109">
        <v>0</v>
      </c>
      <c r="T26" s="109">
        <v>1.02</v>
      </c>
      <c r="U26" s="109">
        <v>7221.0399999999981</v>
      </c>
    </row>
    <row r="27" spans="1:22" s="111" customFormat="1" ht="34.5" customHeight="1" x14ac:dyDescent="0.4">
      <c r="A27" s="167">
        <v>16</v>
      </c>
      <c r="B27" s="167" t="s">
        <v>31</v>
      </c>
      <c r="C27" s="109">
        <v>5025.590000000002</v>
      </c>
      <c r="D27" s="109">
        <v>3.63</v>
      </c>
      <c r="E27" s="109">
        <v>379.98999999999995</v>
      </c>
      <c r="F27" s="109">
        <v>0</v>
      </c>
      <c r="G27" s="109">
        <v>0</v>
      </c>
      <c r="H27" s="109">
        <v>5029.2200000000021</v>
      </c>
      <c r="I27" s="109">
        <v>527.10799999999995</v>
      </c>
      <c r="J27" s="109">
        <v>3.3</v>
      </c>
      <c r="K27" s="109">
        <v>18.510000000000002</v>
      </c>
      <c r="L27" s="109">
        <v>0</v>
      </c>
      <c r="M27" s="109">
        <v>0</v>
      </c>
      <c r="N27" s="109">
        <v>530.4079999999999</v>
      </c>
      <c r="O27" s="109">
        <v>3.9700000000000006</v>
      </c>
      <c r="P27" s="109">
        <v>0.24</v>
      </c>
      <c r="Q27" s="109">
        <v>1.97</v>
      </c>
      <c r="R27" s="109">
        <v>0</v>
      </c>
      <c r="S27" s="109">
        <v>0</v>
      </c>
      <c r="T27" s="109">
        <v>4.2100000000000009</v>
      </c>
      <c r="U27" s="109">
        <v>5563.8380000000025</v>
      </c>
      <c r="V27" s="164"/>
    </row>
    <row r="28" spans="1:22" s="111" customFormat="1" ht="34.5" customHeight="1" x14ac:dyDescent="0.4">
      <c r="A28" s="166"/>
      <c r="B28" s="166" t="s">
        <v>32</v>
      </c>
      <c r="C28" s="110">
        <v>12169.01</v>
      </c>
      <c r="D28" s="110">
        <v>21.49</v>
      </c>
      <c r="E28" s="110">
        <v>595.38999999999987</v>
      </c>
      <c r="F28" s="110">
        <v>0</v>
      </c>
      <c r="G28" s="110">
        <v>0</v>
      </c>
      <c r="H28" s="110">
        <v>12190.5</v>
      </c>
      <c r="I28" s="110">
        <v>585.74799999999993</v>
      </c>
      <c r="J28" s="110">
        <v>3.4</v>
      </c>
      <c r="K28" s="110">
        <v>27.85</v>
      </c>
      <c r="L28" s="110">
        <v>0</v>
      </c>
      <c r="M28" s="110">
        <v>0</v>
      </c>
      <c r="N28" s="110">
        <v>589.14799999999991</v>
      </c>
      <c r="O28" s="110">
        <v>4.99</v>
      </c>
      <c r="P28" s="110">
        <v>0.24</v>
      </c>
      <c r="Q28" s="110">
        <v>2.56</v>
      </c>
      <c r="R28" s="110">
        <v>0</v>
      </c>
      <c r="S28" s="110">
        <v>0</v>
      </c>
      <c r="T28" s="110">
        <v>5.23</v>
      </c>
      <c r="U28" s="110">
        <v>12784.878000000001</v>
      </c>
    </row>
    <row r="29" spans="1:22" ht="34.5" customHeight="1" x14ac:dyDescent="0.35">
      <c r="A29" s="167">
        <v>17</v>
      </c>
      <c r="B29" s="167" t="s">
        <v>33</v>
      </c>
      <c r="C29" s="109">
        <v>3646.7179999999994</v>
      </c>
      <c r="D29" s="109">
        <v>1.399</v>
      </c>
      <c r="E29" s="109">
        <v>128.315</v>
      </c>
      <c r="F29" s="109">
        <v>0</v>
      </c>
      <c r="G29" s="109">
        <v>0</v>
      </c>
      <c r="H29" s="109">
        <v>3648.1169999999993</v>
      </c>
      <c r="I29" s="109">
        <v>87.14</v>
      </c>
      <c r="J29" s="109">
        <v>0</v>
      </c>
      <c r="K29" s="109">
        <v>11.498999999999999</v>
      </c>
      <c r="L29" s="109">
        <v>0</v>
      </c>
      <c r="M29" s="109">
        <v>0</v>
      </c>
      <c r="N29" s="109">
        <v>87.14</v>
      </c>
      <c r="O29" s="109">
        <v>57.720000000000006</v>
      </c>
      <c r="P29" s="109">
        <v>0</v>
      </c>
      <c r="Q29" s="109">
        <v>0.05</v>
      </c>
      <c r="R29" s="109">
        <v>0</v>
      </c>
      <c r="S29" s="109">
        <v>0</v>
      </c>
      <c r="T29" s="109">
        <v>57.720000000000006</v>
      </c>
      <c r="U29" s="109">
        <v>3792.976999999999</v>
      </c>
    </row>
    <row r="30" spans="1:22" ht="34.5" customHeight="1" x14ac:dyDescent="0.35">
      <c r="A30" s="167">
        <v>18</v>
      </c>
      <c r="B30" s="167" t="s">
        <v>64</v>
      </c>
      <c r="C30" s="109">
        <v>322.07699999999994</v>
      </c>
      <c r="D30" s="109">
        <v>35.524999999999999</v>
      </c>
      <c r="E30" s="109">
        <v>397.67499999999995</v>
      </c>
      <c r="F30" s="109">
        <v>0</v>
      </c>
      <c r="G30" s="109">
        <v>0</v>
      </c>
      <c r="H30" s="109">
        <v>357.60199999999992</v>
      </c>
      <c r="I30" s="109">
        <v>20.097000000000001</v>
      </c>
      <c r="J30" s="109">
        <v>0</v>
      </c>
      <c r="K30" s="109">
        <v>59.099999999999994</v>
      </c>
      <c r="L30" s="109">
        <v>0</v>
      </c>
      <c r="M30" s="109">
        <v>0</v>
      </c>
      <c r="N30" s="109">
        <v>20.097000000000001</v>
      </c>
      <c r="O30" s="109">
        <v>0.05</v>
      </c>
      <c r="P30" s="109">
        <v>0</v>
      </c>
      <c r="Q30" s="109">
        <v>85.8</v>
      </c>
      <c r="R30" s="109">
        <v>0</v>
      </c>
      <c r="S30" s="109">
        <v>0</v>
      </c>
      <c r="T30" s="109">
        <v>0.05</v>
      </c>
      <c r="U30" s="109">
        <v>377.74899999999991</v>
      </c>
    </row>
    <row r="31" spans="1:22" s="111" customFormat="1" ht="34.5" customHeight="1" x14ac:dyDescent="0.4">
      <c r="A31" s="167">
        <v>19</v>
      </c>
      <c r="B31" s="167" t="s">
        <v>34</v>
      </c>
      <c r="C31" s="109">
        <v>4169.701</v>
      </c>
      <c r="D31" s="109">
        <v>11.5</v>
      </c>
      <c r="E31" s="109">
        <v>134.72649999999999</v>
      </c>
      <c r="F31" s="109">
        <v>0</v>
      </c>
      <c r="G31" s="109">
        <v>0</v>
      </c>
      <c r="H31" s="109">
        <v>4181.201</v>
      </c>
      <c r="I31" s="109">
        <v>100.31000000000002</v>
      </c>
      <c r="J31" s="109">
        <v>0</v>
      </c>
      <c r="K31" s="109">
        <v>8.8699999999999992</v>
      </c>
      <c r="L31" s="109">
        <v>0</v>
      </c>
      <c r="M31" s="109">
        <v>0</v>
      </c>
      <c r="N31" s="109">
        <v>100.31000000000002</v>
      </c>
      <c r="O31" s="109">
        <v>158.35</v>
      </c>
      <c r="P31" s="109">
        <v>0</v>
      </c>
      <c r="Q31" s="109">
        <v>2</v>
      </c>
      <c r="R31" s="109">
        <v>0</v>
      </c>
      <c r="S31" s="109">
        <v>0</v>
      </c>
      <c r="T31" s="109">
        <v>158.35</v>
      </c>
      <c r="U31" s="109">
        <v>4439.8610000000008</v>
      </c>
      <c r="V31" s="164"/>
    </row>
    <row r="32" spans="1:22" ht="34.5" customHeight="1" x14ac:dyDescent="0.35">
      <c r="A32" s="167">
        <v>20</v>
      </c>
      <c r="B32" s="167" t="s">
        <v>35</v>
      </c>
      <c r="C32" s="109">
        <v>2511.1648000000005</v>
      </c>
      <c r="D32" s="109">
        <v>5.1440000000000001</v>
      </c>
      <c r="E32" s="109">
        <v>713.37649999999985</v>
      </c>
      <c r="F32" s="109">
        <v>0</v>
      </c>
      <c r="G32" s="109">
        <v>0</v>
      </c>
      <c r="H32" s="109">
        <v>2516.3088000000002</v>
      </c>
      <c r="I32" s="109">
        <v>157.13900000000001</v>
      </c>
      <c r="J32" s="109">
        <v>1.4100000000000001</v>
      </c>
      <c r="K32" s="109">
        <v>120.61399999999999</v>
      </c>
      <c r="L32" s="109">
        <v>0</v>
      </c>
      <c r="M32" s="109">
        <v>0</v>
      </c>
      <c r="N32" s="109">
        <v>158.54900000000001</v>
      </c>
      <c r="O32" s="109">
        <v>20.149999999999999</v>
      </c>
      <c r="P32" s="109">
        <v>0</v>
      </c>
      <c r="Q32" s="109">
        <v>89.32</v>
      </c>
      <c r="R32" s="109">
        <v>0</v>
      </c>
      <c r="S32" s="109">
        <v>0</v>
      </c>
      <c r="T32" s="109">
        <v>20.149999999999999</v>
      </c>
      <c r="U32" s="109">
        <v>2695.0078000000003</v>
      </c>
    </row>
    <row r="33" spans="1:22" s="111" customFormat="1" ht="34.5" customHeight="1" x14ac:dyDescent="0.4">
      <c r="A33" s="166"/>
      <c r="B33" s="166" t="s">
        <v>36</v>
      </c>
      <c r="C33" s="110">
        <v>10649.6608</v>
      </c>
      <c r="D33" s="110">
        <v>53.567999999999998</v>
      </c>
      <c r="E33" s="110">
        <v>1374.0929999999998</v>
      </c>
      <c r="F33" s="110">
        <v>0</v>
      </c>
      <c r="G33" s="110">
        <v>0</v>
      </c>
      <c r="H33" s="110">
        <v>10703.228799999999</v>
      </c>
      <c r="I33" s="110">
        <v>364.68600000000004</v>
      </c>
      <c r="J33" s="110">
        <v>1.4100000000000001</v>
      </c>
      <c r="K33" s="110">
        <v>200.08299999999997</v>
      </c>
      <c r="L33" s="110">
        <v>0</v>
      </c>
      <c r="M33" s="110">
        <v>0</v>
      </c>
      <c r="N33" s="110">
        <v>366.096</v>
      </c>
      <c r="O33" s="110">
        <v>236.27</v>
      </c>
      <c r="P33" s="110">
        <v>0</v>
      </c>
      <c r="Q33" s="110">
        <v>177.17</v>
      </c>
      <c r="R33" s="110">
        <v>0</v>
      </c>
      <c r="S33" s="110">
        <v>0</v>
      </c>
      <c r="T33" s="110">
        <v>236.27</v>
      </c>
      <c r="U33" s="110">
        <v>11305.594799999999</v>
      </c>
      <c r="V33" s="111">
        <v>0</v>
      </c>
    </row>
    <row r="34" spans="1:22" ht="34.5" customHeight="1" x14ac:dyDescent="0.35">
      <c r="A34" s="167">
        <v>21</v>
      </c>
      <c r="B34" s="167" t="s">
        <v>37</v>
      </c>
      <c r="C34" s="109">
        <v>4139.01</v>
      </c>
      <c r="D34" s="109">
        <v>4.87</v>
      </c>
      <c r="E34" s="109">
        <v>237.41000000000003</v>
      </c>
      <c r="F34" s="109">
        <v>0</v>
      </c>
      <c r="G34" s="109">
        <v>0</v>
      </c>
      <c r="H34" s="109">
        <v>4143.88</v>
      </c>
      <c r="I34" s="109">
        <v>7.6</v>
      </c>
      <c r="J34" s="109">
        <v>0</v>
      </c>
      <c r="K34" s="109">
        <v>0</v>
      </c>
      <c r="L34" s="109">
        <v>0</v>
      </c>
      <c r="M34" s="109">
        <v>0</v>
      </c>
      <c r="N34" s="109">
        <v>7.6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4151.4800000000005</v>
      </c>
    </row>
    <row r="35" spans="1:22" ht="34.5" customHeight="1" x14ac:dyDescent="0.35">
      <c r="A35" s="167">
        <v>22</v>
      </c>
      <c r="B35" s="167" t="s">
        <v>38</v>
      </c>
      <c r="C35" s="109">
        <v>5618.6499999999978</v>
      </c>
      <c r="D35" s="109">
        <v>40.119999999999997</v>
      </c>
      <c r="E35" s="109">
        <v>186.88</v>
      </c>
      <c r="F35" s="109">
        <v>0</v>
      </c>
      <c r="G35" s="109">
        <v>0</v>
      </c>
      <c r="H35" s="109">
        <v>5658.7699999999977</v>
      </c>
      <c r="I35" s="109">
        <v>4</v>
      </c>
      <c r="J35" s="109">
        <v>0</v>
      </c>
      <c r="K35" s="109">
        <v>0</v>
      </c>
      <c r="L35" s="109">
        <v>0</v>
      </c>
      <c r="M35" s="109">
        <v>0</v>
      </c>
      <c r="N35" s="109">
        <v>4</v>
      </c>
      <c r="O35" s="109">
        <v>0.03</v>
      </c>
      <c r="P35" s="109">
        <v>0</v>
      </c>
      <c r="Q35" s="109">
        <v>0</v>
      </c>
      <c r="R35" s="109">
        <v>0</v>
      </c>
      <c r="S35" s="109">
        <v>0</v>
      </c>
      <c r="T35" s="109">
        <v>0.03</v>
      </c>
      <c r="U35" s="109">
        <v>5662.7999999999975</v>
      </c>
    </row>
    <row r="36" spans="1:22" s="111" customFormat="1" ht="34.5" customHeight="1" x14ac:dyDescent="0.4">
      <c r="A36" s="167">
        <v>23</v>
      </c>
      <c r="B36" s="167" t="s">
        <v>39</v>
      </c>
      <c r="C36" s="109">
        <v>2687.88</v>
      </c>
      <c r="D36" s="109">
        <v>15.36</v>
      </c>
      <c r="E36" s="109">
        <v>210.70999999999998</v>
      </c>
      <c r="F36" s="109">
        <v>0</v>
      </c>
      <c r="G36" s="109">
        <v>0</v>
      </c>
      <c r="H36" s="109">
        <v>2703.2400000000002</v>
      </c>
      <c r="I36" s="109">
        <v>155.65000000000003</v>
      </c>
      <c r="J36" s="109">
        <v>0</v>
      </c>
      <c r="K36" s="109">
        <v>0</v>
      </c>
      <c r="L36" s="109">
        <v>0</v>
      </c>
      <c r="M36" s="109">
        <v>0</v>
      </c>
      <c r="N36" s="109">
        <v>155.65000000000003</v>
      </c>
      <c r="O36" s="109">
        <v>2.2000000000000002</v>
      </c>
      <c r="P36" s="109">
        <v>0</v>
      </c>
      <c r="Q36" s="109">
        <v>0</v>
      </c>
      <c r="R36" s="109">
        <v>0</v>
      </c>
      <c r="S36" s="109">
        <v>0</v>
      </c>
      <c r="T36" s="109">
        <v>2.2000000000000002</v>
      </c>
      <c r="U36" s="109">
        <v>2861.09</v>
      </c>
      <c r="V36" s="164"/>
    </row>
    <row r="37" spans="1:22" s="111" customFormat="1" ht="34.5" customHeight="1" x14ac:dyDescent="0.4">
      <c r="A37" s="167">
        <v>24</v>
      </c>
      <c r="B37" s="167" t="s">
        <v>40</v>
      </c>
      <c r="C37" s="109">
        <v>4621.84</v>
      </c>
      <c r="D37" s="109">
        <v>9.6199999999999992</v>
      </c>
      <c r="E37" s="109">
        <v>527.11</v>
      </c>
      <c r="F37" s="109">
        <v>0</v>
      </c>
      <c r="G37" s="109">
        <v>0</v>
      </c>
      <c r="H37" s="109">
        <v>4631.46</v>
      </c>
      <c r="I37" s="109">
        <v>6.92</v>
      </c>
      <c r="J37" s="109">
        <v>0</v>
      </c>
      <c r="K37" s="109">
        <v>0</v>
      </c>
      <c r="L37" s="109">
        <v>0</v>
      </c>
      <c r="M37" s="109">
        <v>0</v>
      </c>
      <c r="N37" s="109">
        <v>6.92</v>
      </c>
      <c r="O37" s="109">
        <v>1.04</v>
      </c>
      <c r="P37" s="109">
        <v>0</v>
      </c>
      <c r="Q37" s="109">
        <v>0</v>
      </c>
      <c r="R37" s="109">
        <v>0</v>
      </c>
      <c r="S37" s="109">
        <v>0</v>
      </c>
      <c r="T37" s="109">
        <v>1.04</v>
      </c>
      <c r="U37" s="109">
        <v>4639.42</v>
      </c>
      <c r="V37" s="164"/>
    </row>
    <row r="38" spans="1:22" s="111" customFormat="1" ht="34.5" customHeight="1" x14ac:dyDescent="0.4">
      <c r="A38" s="166"/>
      <c r="B38" s="166" t="s">
        <v>41</v>
      </c>
      <c r="C38" s="110">
        <v>17067.379999999997</v>
      </c>
      <c r="D38" s="110">
        <v>69.97</v>
      </c>
      <c r="E38" s="110">
        <v>1162.1100000000001</v>
      </c>
      <c r="F38" s="110">
        <v>0</v>
      </c>
      <c r="G38" s="110">
        <v>0</v>
      </c>
      <c r="H38" s="110">
        <v>17137.349999999999</v>
      </c>
      <c r="I38" s="110">
        <v>174.17000000000002</v>
      </c>
      <c r="J38" s="110">
        <v>0</v>
      </c>
      <c r="K38" s="110">
        <v>0</v>
      </c>
      <c r="L38" s="110">
        <v>0</v>
      </c>
      <c r="M38" s="110">
        <v>0</v>
      </c>
      <c r="N38" s="110">
        <v>174.17000000000002</v>
      </c>
      <c r="O38" s="110">
        <v>3.27</v>
      </c>
      <c r="P38" s="110">
        <v>0</v>
      </c>
      <c r="Q38" s="110">
        <v>0</v>
      </c>
      <c r="R38" s="110">
        <v>0</v>
      </c>
      <c r="S38" s="110">
        <v>0</v>
      </c>
      <c r="T38" s="110">
        <v>3.27</v>
      </c>
      <c r="U38" s="110">
        <v>17314.79</v>
      </c>
    </row>
    <row r="39" spans="1:22" s="111" customFormat="1" ht="34.5" customHeight="1" x14ac:dyDescent="0.4">
      <c r="A39" s="166"/>
      <c r="B39" s="166" t="s">
        <v>42</v>
      </c>
      <c r="C39" s="110">
        <v>39886.050799999997</v>
      </c>
      <c r="D39" s="110">
        <v>145.02799999999999</v>
      </c>
      <c r="E39" s="110">
        <v>3131.5929999999998</v>
      </c>
      <c r="F39" s="110">
        <v>0</v>
      </c>
      <c r="G39" s="110">
        <v>0</v>
      </c>
      <c r="H39" s="110">
        <v>40031.078799999996</v>
      </c>
      <c r="I39" s="110">
        <v>1124.6039999999998</v>
      </c>
      <c r="J39" s="110">
        <v>4.8100000000000005</v>
      </c>
      <c r="K39" s="110">
        <v>227.93299999999996</v>
      </c>
      <c r="L39" s="110">
        <v>0</v>
      </c>
      <c r="M39" s="110">
        <v>0</v>
      </c>
      <c r="N39" s="110">
        <v>1129.414</v>
      </c>
      <c r="O39" s="110">
        <v>244.53000000000003</v>
      </c>
      <c r="P39" s="110">
        <v>0.24</v>
      </c>
      <c r="Q39" s="110">
        <v>179.73</v>
      </c>
      <c r="R39" s="110">
        <v>0</v>
      </c>
      <c r="S39" s="110">
        <v>0</v>
      </c>
      <c r="T39" s="110">
        <v>244.77</v>
      </c>
      <c r="U39" s="110">
        <v>41405.262799999997</v>
      </c>
    </row>
    <row r="40" spans="1:22" ht="34.5" customHeight="1" x14ac:dyDescent="0.35">
      <c r="A40" s="167">
        <v>25</v>
      </c>
      <c r="B40" s="167" t="s">
        <v>43</v>
      </c>
      <c r="C40" s="109">
        <v>10586.019999999999</v>
      </c>
      <c r="D40" s="109">
        <v>12.7</v>
      </c>
      <c r="E40" s="109">
        <v>232.99900000000002</v>
      </c>
      <c r="F40" s="109">
        <v>0</v>
      </c>
      <c r="G40" s="109">
        <v>0</v>
      </c>
      <c r="H40" s="109">
        <v>10598.72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10598.72</v>
      </c>
    </row>
    <row r="41" spans="1:22" ht="34.5" customHeight="1" x14ac:dyDescent="0.35">
      <c r="A41" s="167">
        <v>26</v>
      </c>
      <c r="B41" s="167" t="s">
        <v>44</v>
      </c>
      <c r="C41" s="109">
        <v>6993.6859999999951</v>
      </c>
      <c r="D41" s="109">
        <v>7.96</v>
      </c>
      <c r="E41" s="109">
        <v>695.89499999999998</v>
      </c>
      <c r="F41" s="109">
        <v>0</v>
      </c>
      <c r="G41" s="109">
        <v>0</v>
      </c>
      <c r="H41" s="109">
        <v>7001.6459999999952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7001.6459999999952</v>
      </c>
    </row>
    <row r="42" spans="1:22" s="111" customFormat="1" ht="34.5" customHeight="1" x14ac:dyDescent="0.4">
      <c r="A42" s="167">
        <v>27</v>
      </c>
      <c r="B42" s="167" t="s">
        <v>45</v>
      </c>
      <c r="C42" s="109">
        <v>13227.215999999997</v>
      </c>
      <c r="D42" s="109">
        <v>36.799999999999997</v>
      </c>
      <c r="E42" s="109">
        <v>278.95000000000005</v>
      </c>
      <c r="F42" s="109">
        <v>0</v>
      </c>
      <c r="G42" s="109">
        <v>0</v>
      </c>
      <c r="H42" s="109">
        <v>13264.015999999996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0</v>
      </c>
      <c r="U42" s="109">
        <v>13264.015999999996</v>
      </c>
      <c r="V42" s="164"/>
    </row>
    <row r="43" spans="1:22" ht="34.5" customHeight="1" x14ac:dyDescent="0.35">
      <c r="A43" s="167">
        <v>28</v>
      </c>
      <c r="B43" s="167" t="s">
        <v>63</v>
      </c>
      <c r="C43" s="109">
        <v>716.3180000000001</v>
      </c>
      <c r="D43" s="109">
        <v>6.65</v>
      </c>
      <c r="E43" s="109">
        <v>1463.6289999999999</v>
      </c>
      <c r="F43" s="109">
        <v>0</v>
      </c>
      <c r="G43" s="109">
        <v>0</v>
      </c>
      <c r="H43" s="109">
        <v>722.96800000000007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722.96800000000007</v>
      </c>
    </row>
    <row r="44" spans="1:22" s="111" customFormat="1" ht="34.5" customHeight="1" x14ac:dyDescent="0.4">
      <c r="A44" s="166"/>
      <c r="B44" s="166" t="s">
        <v>46</v>
      </c>
      <c r="C44" s="110">
        <v>31523.239999999991</v>
      </c>
      <c r="D44" s="110">
        <v>64.11</v>
      </c>
      <c r="E44" s="110">
        <v>2671.473</v>
      </c>
      <c r="F44" s="110">
        <v>0</v>
      </c>
      <c r="G44" s="110">
        <v>0</v>
      </c>
      <c r="H44" s="110">
        <v>31587.349999999991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31587.349999999991</v>
      </c>
    </row>
    <row r="45" spans="1:22" ht="34.5" customHeight="1" x14ac:dyDescent="0.35">
      <c r="A45" s="167">
        <v>29</v>
      </c>
      <c r="B45" s="167" t="s">
        <v>47</v>
      </c>
      <c r="C45" s="109">
        <v>7819.272100000002</v>
      </c>
      <c r="D45" s="109">
        <v>11.98</v>
      </c>
      <c r="E45" s="109">
        <v>379.125</v>
      </c>
      <c r="F45" s="109">
        <v>0</v>
      </c>
      <c r="G45" s="109">
        <v>0</v>
      </c>
      <c r="H45" s="109">
        <v>7831.2521000000015</v>
      </c>
      <c r="I45" s="109">
        <v>0.70000000000000007</v>
      </c>
      <c r="J45" s="109">
        <v>0</v>
      </c>
      <c r="K45" s="109">
        <v>0</v>
      </c>
      <c r="L45" s="109">
        <v>0</v>
      </c>
      <c r="M45" s="109">
        <v>0</v>
      </c>
      <c r="N45" s="109">
        <v>0.70000000000000007</v>
      </c>
      <c r="O45" s="109">
        <v>14.43</v>
      </c>
      <c r="P45" s="109">
        <v>0</v>
      </c>
      <c r="Q45" s="109">
        <v>0</v>
      </c>
      <c r="R45" s="109">
        <v>0</v>
      </c>
      <c r="S45" s="109">
        <v>0</v>
      </c>
      <c r="T45" s="109">
        <v>14.43</v>
      </c>
      <c r="U45" s="109">
        <v>7846.3821000000016</v>
      </c>
    </row>
    <row r="46" spans="1:22" ht="34.5" customHeight="1" x14ac:dyDescent="0.35">
      <c r="A46" s="167">
        <v>30</v>
      </c>
      <c r="B46" s="167" t="s">
        <v>48</v>
      </c>
      <c r="C46" s="109">
        <v>7133.3650000000007</v>
      </c>
      <c r="D46" s="109">
        <v>26.49</v>
      </c>
      <c r="E46" s="109">
        <v>442.93</v>
      </c>
      <c r="F46" s="109">
        <v>0</v>
      </c>
      <c r="G46" s="109">
        <v>0</v>
      </c>
      <c r="H46" s="109">
        <v>7159.8550000000005</v>
      </c>
      <c r="I46" s="109">
        <v>0.96</v>
      </c>
      <c r="J46" s="109">
        <v>0</v>
      </c>
      <c r="K46" s="109">
        <v>0</v>
      </c>
      <c r="L46" s="109">
        <v>0</v>
      </c>
      <c r="M46" s="109">
        <v>0</v>
      </c>
      <c r="N46" s="109">
        <v>0.96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7160.8150000000005</v>
      </c>
    </row>
    <row r="47" spans="1:22" s="111" customFormat="1" ht="34.5" customHeight="1" x14ac:dyDescent="0.4">
      <c r="A47" s="167">
        <v>31</v>
      </c>
      <c r="B47" s="167" t="s">
        <v>49</v>
      </c>
      <c r="C47" s="109">
        <v>7850.3400000000011</v>
      </c>
      <c r="D47" s="109">
        <v>67.39</v>
      </c>
      <c r="E47" s="109">
        <v>1054.2</v>
      </c>
      <c r="F47" s="109">
        <v>0</v>
      </c>
      <c r="G47" s="109">
        <v>0</v>
      </c>
      <c r="H47" s="109">
        <v>7917.7300000000014</v>
      </c>
      <c r="I47" s="109">
        <v>6.89</v>
      </c>
      <c r="J47" s="109">
        <v>0</v>
      </c>
      <c r="K47" s="109">
        <v>0</v>
      </c>
      <c r="L47" s="109">
        <v>0</v>
      </c>
      <c r="M47" s="109">
        <v>0</v>
      </c>
      <c r="N47" s="109">
        <v>6.89</v>
      </c>
      <c r="O47" s="109">
        <v>0.03</v>
      </c>
      <c r="P47" s="109">
        <v>0</v>
      </c>
      <c r="Q47" s="109">
        <v>0</v>
      </c>
      <c r="R47" s="109">
        <v>0</v>
      </c>
      <c r="S47" s="109">
        <v>0</v>
      </c>
      <c r="T47" s="109">
        <v>0.03</v>
      </c>
      <c r="U47" s="109">
        <v>7924.6500000000015</v>
      </c>
      <c r="V47" s="164"/>
    </row>
    <row r="48" spans="1:22" s="111" customFormat="1" ht="34.5" customHeight="1" x14ac:dyDescent="0.4">
      <c r="A48" s="167">
        <v>32</v>
      </c>
      <c r="B48" s="167" t="s">
        <v>50</v>
      </c>
      <c r="C48" s="109">
        <v>7149.4400000000005</v>
      </c>
      <c r="D48" s="109">
        <v>23.22</v>
      </c>
      <c r="E48" s="109">
        <v>1896.7371000000001</v>
      </c>
      <c r="F48" s="109">
        <v>0</v>
      </c>
      <c r="G48" s="109">
        <v>0</v>
      </c>
      <c r="H48" s="109">
        <v>7172.6600000000008</v>
      </c>
      <c r="I48" s="109">
        <v>0.505</v>
      </c>
      <c r="J48" s="109">
        <v>0</v>
      </c>
      <c r="K48" s="109">
        <v>0</v>
      </c>
      <c r="L48" s="109">
        <v>0</v>
      </c>
      <c r="M48" s="109">
        <v>0</v>
      </c>
      <c r="N48" s="109">
        <v>0.505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7173.1650000000009</v>
      </c>
      <c r="V48" s="164"/>
    </row>
    <row r="49" spans="1:21" s="111" customFormat="1" ht="51.75" customHeight="1" x14ac:dyDescent="0.4">
      <c r="A49" s="166"/>
      <c r="B49" s="166" t="s">
        <v>51</v>
      </c>
      <c r="C49" s="110">
        <v>29952.417100000006</v>
      </c>
      <c r="D49" s="110">
        <v>129.07999999999998</v>
      </c>
      <c r="E49" s="110">
        <v>3772.9921000000004</v>
      </c>
      <c r="F49" s="110">
        <v>0</v>
      </c>
      <c r="G49" s="110">
        <v>0</v>
      </c>
      <c r="H49" s="110">
        <v>30081.497100000004</v>
      </c>
      <c r="I49" s="110">
        <v>9.0550000000000015</v>
      </c>
      <c r="J49" s="110">
        <v>0</v>
      </c>
      <c r="K49" s="110">
        <v>0</v>
      </c>
      <c r="L49" s="110">
        <v>0</v>
      </c>
      <c r="M49" s="110">
        <v>0</v>
      </c>
      <c r="N49" s="110">
        <v>9.0550000000000015</v>
      </c>
      <c r="O49" s="110">
        <v>14.459999999999999</v>
      </c>
      <c r="P49" s="110">
        <v>0</v>
      </c>
      <c r="Q49" s="110">
        <v>0</v>
      </c>
      <c r="R49" s="110">
        <v>0</v>
      </c>
      <c r="S49" s="110">
        <v>0</v>
      </c>
      <c r="T49" s="110">
        <v>14.459999999999999</v>
      </c>
      <c r="U49" s="110">
        <v>30105.012100000004</v>
      </c>
    </row>
    <row r="50" spans="1:21" s="111" customFormat="1" ht="51.75" customHeight="1" x14ac:dyDescent="0.4">
      <c r="A50" s="166"/>
      <c r="B50" s="166" t="s">
        <v>52</v>
      </c>
      <c r="C50" s="110">
        <v>61475.657099999997</v>
      </c>
      <c r="D50" s="110">
        <v>193.19</v>
      </c>
      <c r="E50" s="110">
        <v>6444.4651000000003</v>
      </c>
      <c r="F50" s="110">
        <v>0</v>
      </c>
      <c r="G50" s="110">
        <v>0</v>
      </c>
      <c r="H50" s="110">
        <v>61668.847099999999</v>
      </c>
      <c r="I50" s="110">
        <v>9.0550000000000015</v>
      </c>
      <c r="J50" s="110">
        <v>0</v>
      </c>
      <c r="K50" s="110">
        <v>0</v>
      </c>
      <c r="L50" s="110">
        <v>0</v>
      </c>
      <c r="M50" s="110">
        <v>0</v>
      </c>
      <c r="N50" s="110">
        <v>9.0550000000000015</v>
      </c>
      <c r="O50" s="110">
        <v>14.459999999999999</v>
      </c>
      <c r="P50" s="110">
        <v>0</v>
      </c>
      <c r="Q50" s="110">
        <v>0</v>
      </c>
      <c r="R50" s="110">
        <v>0</v>
      </c>
      <c r="S50" s="110">
        <v>0</v>
      </c>
      <c r="T50" s="110">
        <v>14.459999999999999</v>
      </c>
      <c r="U50" s="110">
        <v>61692.362099999998</v>
      </c>
    </row>
    <row r="51" spans="1:21" s="111" customFormat="1" ht="51.75" customHeight="1" x14ac:dyDescent="0.4">
      <c r="A51" s="166"/>
      <c r="B51" s="166" t="s">
        <v>53</v>
      </c>
      <c r="C51" s="110">
        <v>107267.9559</v>
      </c>
      <c r="D51" s="110">
        <v>341.73799999999994</v>
      </c>
      <c r="E51" s="110">
        <v>9659.7141000000011</v>
      </c>
      <c r="F51" s="110">
        <v>0</v>
      </c>
      <c r="G51" s="110">
        <v>0.2</v>
      </c>
      <c r="H51" s="110">
        <v>107609.6939</v>
      </c>
      <c r="I51" s="110">
        <v>6102.3099999999995</v>
      </c>
      <c r="J51" s="110">
        <v>19.229999999999997</v>
      </c>
      <c r="K51" s="110">
        <v>673.37899999999991</v>
      </c>
      <c r="L51" s="110">
        <v>0.1</v>
      </c>
      <c r="M51" s="110">
        <v>0.1</v>
      </c>
      <c r="N51" s="110">
        <v>6121.44</v>
      </c>
      <c r="O51" s="110">
        <v>901.84199999999987</v>
      </c>
      <c r="P51" s="110">
        <v>7.2600000000000007</v>
      </c>
      <c r="Q51" s="110">
        <v>200.48499999999999</v>
      </c>
      <c r="R51" s="110">
        <v>0</v>
      </c>
      <c r="S51" s="110">
        <v>0</v>
      </c>
      <c r="T51" s="110">
        <v>909.10199999999998</v>
      </c>
      <c r="U51" s="110">
        <v>114640.2359</v>
      </c>
    </row>
    <row r="52" spans="1:21" s="116" customFormat="1" ht="55.5" customHeight="1" x14ac:dyDescent="0.25">
      <c r="C52" s="117"/>
      <c r="D52" s="117"/>
      <c r="E52" s="144">
        <v>9659.7141000000011</v>
      </c>
      <c r="F52" s="117"/>
      <c r="G52" s="117"/>
      <c r="H52" s="117"/>
      <c r="I52" s="117"/>
      <c r="J52" s="117"/>
      <c r="K52" s="144">
        <v>673.37900000000002</v>
      </c>
      <c r="L52" s="117"/>
      <c r="M52" s="117"/>
      <c r="N52" s="117"/>
      <c r="O52" s="117"/>
      <c r="P52" s="117"/>
      <c r="Q52" s="144">
        <v>200.48499999999996</v>
      </c>
      <c r="R52" s="117"/>
      <c r="S52" s="117"/>
      <c r="T52" s="117"/>
      <c r="U52" s="117"/>
    </row>
    <row r="53" spans="1:21" s="115" customFormat="1" ht="24.75" customHeight="1" x14ac:dyDescent="0.4">
      <c r="B53" s="164"/>
      <c r="C53" s="189" t="s">
        <v>54</v>
      </c>
      <c r="D53" s="189"/>
      <c r="E53" s="189"/>
      <c r="F53" s="189"/>
      <c r="G53" s="189"/>
      <c r="H53" s="118"/>
      <c r="I53" s="164"/>
      <c r="J53" s="164">
        <v>368.12799999999993</v>
      </c>
      <c r="K53" s="164"/>
      <c r="L53" s="164"/>
      <c r="M53" s="164"/>
      <c r="N53" s="164"/>
      <c r="R53" s="164"/>
      <c r="U53" s="164"/>
    </row>
    <row r="54" spans="1:21" s="115" customFormat="1" ht="30" customHeight="1" x14ac:dyDescent="0.35">
      <c r="B54" s="164"/>
      <c r="C54" s="164"/>
      <c r="D54" s="189" t="s">
        <v>55</v>
      </c>
      <c r="E54" s="189"/>
      <c r="F54" s="189"/>
      <c r="G54" s="189"/>
      <c r="H54" s="119"/>
      <c r="I54" s="164"/>
      <c r="J54" s="164">
        <v>10533.278100000001</v>
      </c>
      <c r="K54" s="164"/>
      <c r="L54" s="164"/>
      <c r="M54" s="164"/>
      <c r="N54" s="164"/>
      <c r="R54" s="164"/>
      <c r="T54" s="164"/>
    </row>
    <row r="55" spans="1:21" ht="33" customHeight="1" x14ac:dyDescent="0.5">
      <c r="C55" s="120"/>
      <c r="D55" s="189" t="s">
        <v>56</v>
      </c>
      <c r="E55" s="189"/>
      <c r="F55" s="189"/>
      <c r="G55" s="189"/>
      <c r="H55" s="119"/>
      <c r="I55" s="121"/>
      <c r="J55" s="164">
        <v>114640.2359</v>
      </c>
      <c r="K55" s="119"/>
      <c r="L55" s="119"/>
      <c r="M55" s="142">
        <v>114640.2359</v>
      </c>
      <c r="N55" s="119"/>
      <c r="P55" s="115"/>
      <c r="Q55" s="122"/>
      <c r="U55" s="122"/>
    </row>
    <row r="56" spans="1:21" ht="33" customHeight="1" x14ac:dyDescent="0.5">
      <c r="C56" s="120"/>
      <c r="D56" s="164"/>
      <c r="E56" s="164"/>
      <c r="F56" s="164"/>
      <c r="G56" s="164"/>
      <c r="H56" s="119"/>
      <c r="I56" s="121"/>
      <c r="J56" s="164"/>
      <c r="K56" s="119"/>
      <c r="L56" s="119"/>
      <c r="M56" s="143"/>
      <c r="N56" s="119"/>
      <c r="P56" s="115"/>
      <c r="Q56" s="122"/>
      <c r="U56" s="122"/>
    </row>
    <row r="57" spans="1:21" ht="33" customHeight="1" x14ac:dyDescent="0.5">
      <c r="C57" s="120"/>
      <c r="D57" s="164"/>
      <c r="E57" s="164"/>
      <c r="F57" s="164"/>
      <c r="G57" s="164"/>
      <c r="H57" s="119"/>
      <c r="I57" s="121"/>
      <c r="J57" s="164"/>
      <c r="K57" s="119"/>
      <c r="L57" s="119"/>
      <c r="M57" s="142">
        <v>113482.62589999998</v>
      </c>
      <c r="N57" s="119"/>
      <c r="P57" s="115"/>
      <c r="Q57" s="122"/>
      <c r="U57" s="122"/>
    </row>
    <row r="58" spans="1:21" ht="37.5" customHeight="1" x14ac:dyDescent="0.4">
      <c r="B58" s="190" t="s">
        <v>57</v>
      </c>
      <c r="C58" s="190"/>
      <c r="D58" s="190"/>
      <c r="E58" s="190"/>
      <c r="F58" s="190"/>
      <c r="G58" s="118"/>
      <c r="H58" s="111"/>
      <c r="I58" s="126"/>
      <c r="J58" s="191"/>
      <c r="K58" s="188"/>
      <c r="L58" s="188"/>
      <c r="M58" s="118"/>
      <c r="N58" s="111"/>
      <c r="O58" s="111"/>
      <c r="P58" s="165"/>
      <c r="Q58" s="190" t="s">
        <v>58</v>
      </c>
      <c r="R58" s="190"/>
      <c r="S58" s="190"/>
      <c r="T58" s="190"/>
      <c r="U58" s="190"/>
    </row>
    <row r="59" spans="1:21" ht="37.5" customHeight="1" x14ac:dyDescent="0.4">
      <c r="B59" s="190" t="s">
        <v>59</v>
      </c>
      <c r="C59" s="190"/>
      <c r="D59" s="190"/>
      <c r="E59" s="190"/>
      <c r="F59" s="190"/>
      <c r="G59" s="111"/>
      <c r="H59" s="118"/>
      <c r="I59" s="127"/>
      <c r="J59" s="128"/>
      <c r="K59" s="163"/>
      <c r="L59" s="128"/>
      <c r="M59" s="111"/>
      <c r="N59" s="118"/>
      <c r="O59" s="111"/>
      <c r="P59" s="165"/>
      <c r="Q59" s="190" t="s">
        <v>59</v>
      </c>
      <c r="R59" s="190"/>
      <c r="S59" s="190"/>
      <c r="T59" s="190"/>
      <c r="U59" s="190"/>
    </row>
    <row r="60" spans="1:21" ht="37.5" customHeight="1" x14ac:dyDescent="0.35">
      <c r="J60" s="188" t="s">
        <v>61</v>
      </c>
      <c r="K60" s="188"/>
      <c r="L60" s="188"/>
      <c r="M60" s="125">
        <v>112699.70189999999</v>
      </c>
    </row>
    <row r="61" spans="1:21" ht="37.5" customHeight="1" x14ac:dyDescent="0.35">
      <c r="G61" s="119"/>
      <c r="J61" s="188" t="s">
        <v>62</v>
      </c>
      <c r="K61" s="188"/>
      <c r="L61" s="188"/>
      <c r="M61" s="125">
        <v>112034.90889999999</v>
      </c>
    </row>
    <row r="63" spans="1:21" x14ac:dyDescent="0.35">
      <c r="H63" s="130"/>
      <c r="I63" s="131"/>
      <c r="J63" s="130"/>
    </row>
    <row r="64" spans="1:21" x14ac:dyDescent="0.35">
      <c r="H64" s="130"/>
      <c r="I64" s="131"/>
      <c r="J64" s="130"/>
    </row>
    <row r="65" spans="8:21" x14ac:dyDescent="0.35">
      <c r="H65" s="125"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3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Q58:U58"/>
    <mergeCell ref="B59:F59"/>
    <mergeCell ref="Q59:U59"/>
    <mergeCell ref="P5:Q5"/>
    <mergeCell ref="R5:S5"/>
    <mergeCell ref="T5:T6"/>
    <mergeCell ref="U5:U6"/>
    <mergeCell ref="C53:G53"/>
    <mergeCell ref="D54:G54"/>
    <mergeCell ref="H5:H6"/>
    <mergeCell ref="I5:I6"/>
    <mergeCell ref="J5:K5"/>
    <mergeCell ref="L5:M5"/>
    <mergeCell ref="N5:N6"/>
    <mergeCell ref="O5:O6"/>
    <mergeCell ref="J60:L60"/>
    <mergeCell ref="J61:L61"/>
    <mergeCell ref="D55:G55"/>
    <mergeCell ref="B58:F58"/>
    <mergeCell ref="J58:L58"/>
  </mergeCells>
  <pageMargins left="0.70866141732283472" right="0.70866141732283472" top="0.27559055118110237" bottom="0.51181102362204722" header="0.19685039370078741" footer="0.31496062992125984"/>
  <pageSetup paperSize="8" scale="36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opLeftCell="F43" zoomScale="40" zoomScaleNormal="40" workbookViewId="0">
      <selection activeCell="A2" sqref="A2:U2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3" width="25.42578125" style="107" customWidth="1"/>
    <col min="14" max="14" width="28" style="107" bestFit="1" customWidth="1"/>
    <col min="15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.5703125" style="123" bestFit="1" customWidth="1"/>
    <col min="22" max="16384" width="9.140625" style="107"/>
  </cols>
  <sheetData>
    <row r="1" spans="1:21" ht="78" customHeight="1" x14ac:dyDescent="0.35">
      <c r="A1" s="246" t="s">
        <v>123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</row>
    <row r="2" spans="1:21" ht="54" customHeight="1" x14ac:dyDescent="0.35">
      <c r="A2" s="248" t="s">
        <v>134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1" ht="32.25" customHeight="1" x14ac:dyDescent="0.35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</row>
    <row r="4" spans="1:21" s="108" customFormat="1" ht="43.5" customHeight="1" x14ac:dyDescent="0.25">
      <c r="A4" s="250" t="s">
        <v>122</v>
      </c>
      <c r="B4" s="235" t="s">
        <v>121</v>
      </c>
      <c r="C4" s="192" t="s">
        <v>131</v>
      </c>
      <c r="D4" s="193"/>
      <c r="E4" s="193"/>
      <c r="F4" s="193"/>
      <c r="G4" s="193"/>
      <c r="H4" s="193"/>
      <c r="I4" s="192" t="s">
        <v>130</v>
      </c>
      <c r="J4" s="193"/>
      <c r="K4" s="193"/>
      <c r="L4" s="193"/>
      <c r="M4" s="193"/>
      <c r="N4" s="193"/>
      <c r="O4" s="192" t="s">
        <v>129</v>
      </c>
      <c r="P4" s="193"/>
      <c r="Q4" s="193"/>
      <c r="R4" s="193"/>
      <c r="S4" s="193"/>
      <c r="T4" s="193"/>
      <c r="U4" s="175"/>
    </row>
    <row r="5" spans="1:21" s="108" customFormat="1" ht="54.75" customHeight="1" x14ac:dyDescent="0.25">
      <c r="A5" s="252"/>
      <c r="B5" s="253"/>
      <c r="C5" s="244" t="s">
        <v>6</v>
      </c>
      <c r="D5" s="238" t="s">
        <v>127</v>
      </c>
      <c r="E5" s="239"/>
      <c r="F5" s="238" t="s">
        <v>126</v>
      </c>
      <c r="G5" s="239"/>
      <c r="H5" s="244" t="s">
        <v>9</v>
      </c>
      <c r="I5" s="244" t="s">
        <v>6</v>
      </c>
      <c r="J5" s="238" t="s">
        <v>127</v>
      </c>
      <c r="K5" s="239"/>
      <c r="L5" s="238" t="s">
        <v>126</v>
      </c>
      <c r="M5" s="239"/>
      <c r="N5" s="244" t="s">
        <v>9</v>
      </c>
      <c r="O5" s="244" t="s">
        <v>6</v>
      </c>
      <c r="P5" s="238" t="s">
        <v>127</v>
      </c>
      <c r="Q5" s="239"/>
      <c r="R5" s="238" t="s">
        <v>126</v>
      </c>
      <c r="S5" s="239"/>
      <c r="T5" s="244" t="s">
        <v>9</v>
      </c>
      <c r="U5" s="235" t="s">
        <v>128</v>
      </c>
    </row>
    <row r="6" spans="1:21" s="108" customFormat="1" ht="38.25" customHeight="1" x14ac:dyDescent="0.25">
      <c r="A6" s="252"/>
      <c r="B6" s="236"/>
      <c r="C6" s="245"/>
      <c r="D6" s="172" t="s">
        <v>124</v>
      </c>
      <c r="E6" s="172" t="s">
        <v>125</v>
      </c>
      <c r="F6" s="172" t="s">
        <v>124</v>
      </c>
      <c r="G6" s="172" t="s">
        <v>125</v>
      </c>
      <c r="H6" s="245"/>
      <c r="I6" s="245"/>
      <c r="J6" s="172" t="s">
        <v>124</v>
      </c>
      <c r="K6" s="172" t="s">
        <v>125</v>
      </c>
      <c r="L6" s="172" t="s">
        <v>124</v>
      </c>
      <c r="M6" s="172" t="s">
        <v>125</v>
      </c>
      <c r="N6" s="245"/>
      <c r="O6" s="245"/>
      <c r="P6" s="172" t="s">
        <v>124</v>
      </c>
      <c r="Q6" s="172" t="s">
        <v>125</v>
      </c>
      <c r="R6" s="172" t="s">
        <v>124</v>
      </c>
      <c r="S6" s="172" t="s">
        <v>125</v>
      </c>
      <c r="T6" s="245"/>
      <c r="U6" s="236"/>
    </row>
    <row r="7" spans="1:21" ht="38.25" customHeight="1" x14ac:dyDescent="0.35">
      <c r="A7" s="171">
        <v>1</v>
      </c>
      <c r="B7" s="172" t="s">
        <v>78</v>
      </c>
      <c r="C7" s="139">
        <f>'[4]Feb 2023'!H7</f>
        <v>7.179999999999982</v>
      </c>
      <c r="D7" s="139">
        <v>0</v>
      </c>
      <c r="E7" s="139">
        <f>'[4]Feb 2023'!E7+'[5]March 2023'!D7</f>
        <v>0</v>
      </c>
      <c r="F7" s="139">
        <v>0</v>
      </c>
      <c r="G7" s="139">
        <f>'[4]Feb 2023'!G7+'[5]March 2023'!F7</f>
        <v>82.86</v>
      </c>
      <c r="H7" s="139">
        <f>C7+D7-F7</f>
        <v>7.179999999999982</v>
      </c>
      <c r="I7" s="139">
        <f>'[4]Feb 2023'!N7</f>
        <v>700.22199999999975</v>
      </c>
      <c r="J7" s="139">
        <v>14.234999999999999</v>
      </c>
      <c r="K7" s="139">
        <f>'[4]Feb 2023'!K7+'[5]March 2023'!J7</f>
        <v>130.23999999999998</v>
      </c>
      <c r="L7" s="139">
        <v>0</v>
      </c>
      <c r="M7" s="139">
        <f>'[4]Feb 2023'!M7+'[5]March 2023'!L7</f>
        <v>0</v>
      </c>
      <c r="N7" s="139">
        <f>I7+J7-L7</f>
        <v>714.45699999999977</v>
      </c>
      <c r="O7" s="139">
        <f>'[4]Feb 2023'!T7</f>
        <v>8.436000000000007</v>
      </c>
      <c r="P7" s="139">
        <v>0</v>
      </c>
      <c r="Q7" s="139">
        <f>'[4]Feb 2023'!Q7+'[5]March 2023'!P7</f>
        <v>0</v>
      </c>
      <c r="R7" s="139">
        <v>0</v>
      </c>
      <c r="S7" s="139">
        <f>'[4]Feb 2023'!S7+'[5]March 2023'!R7</f>
        <v>1.01</v>
      </c>
      <c r="T7" s="139">
        <f>O7+P7-R7</f>
        <v>8.436000000000007</v>
      </c>
      <c r="U7" s="139">
        <f>H7+N7+T7</f>
        <v>730.07299999999975</v>
      </c>
    </row>
    <row r="8" spans="1:21" ht="38.25" customHeight="1" x14ac:dyDescent="0.35">
      <c r="A8" s="171">
        <v>2</v>
      </c>
      <c r="B8" s="172" t="s">
        <v>79</v>
      </c>
      <c r="C8" s="139">
        <f>'[4]Feb 2023'!H8</f>
        <v>265.44999999999993</v>
      </c>
      <c r="D8" s="139">
        <v>0.54</v>
      </c>
      <c r="E8" s="139">
        <f>'[4]Feb 2023'!E8+'[5]March 2023'!D8</f>
        <v>0.60000000000000009</v>
      </c>
      <c r="F8" s="139">
        <v>0</v>
      </c>
      <c r="G8" s="139">
        <f>'[4]Feb 2023'!G8+'[5]March 2023'!F8</f>
        <v>0</v>
      </c>
      <c r="H8" s="139">
        <f t="shared" ref="H8:H51" si="0">C8+D8-F8</f>
        <v>265.98999999999995</v>
      </c>
      <c r="I8" s="139">
        <f>'[4]Feb 2023'!N8</f>
        <v>390.27100000000007</v>
      </c>
      <c r="J8" s="139">
        <v>7.875</v>
      </c>
      <c r="K8" s="139">
        <f>'[4]Feb 2023'!K8+'[5]March 2023'!J8</f>
        <v>86.165999999999997</v>
      </c>
      <c r="L8" s="139">
        <v>0</v>
      </c>
      <c r="M8" s="139">
        <f>'[4]Feb 2023'!M8+'[5]March 2023'!L8</f>
        <v>0</v>
      </c>
      <c r="N8" s="139">
        <f t="shared" ref="N8:N51" si="1">I8+J8-L8</f>
        <v>398.14600000000007</v>
      </c>
      <c r="O8" s="139">
        <f>'[4]Feb 2023'!T8</f>
        <v>66.290000000000006</v>
      </c>
      <c r="P8" s="139">
        <v>0</v>
      </c>
      <c r="Q8" s="139">
        <f>'[4]Feb 2023'!Q8+'[5]March 2023'!P8</f>
        <v>0</v>
      </c>
      <c r="R8" s="139">
        <v>0</v>
      </c>
      <c r="S8" s="139">
        <f>'[4]Feb 2023'!S8+'[5]March 2023'!R8</f>
        <v>0</v>
      </c>
      <c r="T8" s="139">
        <f t="shared" ref="T8:T51" si="2">O8+P8-R8</f>
        <v>66.290000000000006</v>
      </c>
      <c r="U8" s="139">
        <f t="shared" ref="U8:U51" si="3">H8+N8+T8</f>
        <v>730.42599999999993</v>
      </c>
    </row>
    <row r="9" spans="1:21" ht="38.25" customHeight="1" x14ac:dyDescent="0.35">
      <c r="A9" s="171">
        <v>3</v>
      </c>
      <c r="B9" s="172" t="s">
        <v>80</v>
      </c>
      <c r="C9" s="139">
        <f>'[4]Feb 2023'!H9</f>
        <v>209.16</v>
      </c>
      <c r="D9" s="139">
        <v>0</v>
      </c>
      <c r="E9" s="139">
        <f>'[4]Feb 2023'!E9+'[5]March 2023'!D9</f>
        <v>0</v>
      </c>
      <c r="F9" s="139">
        <v>0</v>
      </c>
      <c r="G9" s="139">
        <f>'[4]Feb 2023'!G9+'[5]March 2023'!F9</f>
        <v>0</v>
      </c>
      <c r="H9" s="139">
        <f t="shared" si="0"/>
        <v>209.16</v>
      </c>
      <c r="I9" s="139">
        <f>'[4]Feb 2023'!N9</f>
        <v>899.88800000000003</v>
      </c>
      <c r="J9" s="139">
        <v>3.36</v>
      </c>
      <c r="K9" s="139">
        <f>'[4]Feb 2023'!K9+'[5]March 2023'!J9</f>
        <v>202.21999999999997</v>
      </c>
      <c r="L9" s="139">
        <v>0</v>
      </c>
      <c r="M9" s="139">
        <f>'[4]Feb 2023'!M9+'[5]March 2023'!L9</f>
        <v>0</v>
      </c>
      <c r="N9" s="139">
        <f t="shared" si="1"/>
        <v>903.24800000000005</v>
      </c>
      <c r="O9" s="139">
        <f>'[4]Feb 2023'!T9</f>
        <v>44.739999999999995</v>
      </c>
      <c r="P9" s="139">
        <v>0</v>
      </c>
      <c r="Q9" s="139">
        <f>'[4]Feb 2023'!Q9+'[5]March 2023'!P9</f>
        <v>0</v>
      </c>
      <c r="R9" s="139">
        <v>0</v>
      </c>
      <c r="S9" s="139">
        <f>'[4]Feb 2023'!S9+'[5]March 2023'!R9</f>
        <v>0</v>
      </c>
      <c r="T9" s="139">
        <f t="shared" si="2"/>
        <v>44.739999999999995</v>
      </c>
      <c r="U9" s="139">
        <f t="shared" si="3"/>
        <v>1157.1480000000001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f>'[4]Feb 2023'!H10</f>
        <v>0</v>
      </c>
      <c r="D10" s="139">
        <v>0</v>
      </c>
      <c r="E10" s="139">
        <f>'[4]Feb 2023'!E10+'[5]March 2023'!D10</f>
        <v>0</v>
      </c>
      <c r="F10" s="139">
        <v>0</v>
      </c>
      <c r="G10" s="139">
        <f>'[4]Feb 2023'!G10+'[5]March 2023'!F10</f>
        <v>0</v>
      </c>
      <c r="H10" s="139">
        <f t="shared" si="0"/>
        <v>0</v>
      </c>
      <c r="I10" s="139">
        <f>'[4]Feb 2023'!N10</f>
        <v>362.3429999999999</v>
      </c>
      <c r="J10" s="139">
        <v>2.63</v>
      </c>
      <c r="K10" s="139">
        <f>'[4]Feb 2023'!K10+'[5]March 2023'!J10</f>
        <v>22.598000000000003</v>
      </c>
      <c r="L10" s="139">
        <v>0</v>
      </c>
      <c r="M10" s="139">
        <f>'[4]Feb 2023'!M10+'[5]March 2023'!L10</f>
        <v>0</v>
      </c>
      <c r="N10" s="139">
        <f t="shared" si="1"/>
        <v>364.9729999999999</v>
      </c>
      <c r="O10" s="139">
        <f>'[4]Feb 2023'!T10</f>
        <v>0.20000000000000007</v>
      </c>
      <c r="P10" s="139">
        <v>0</v>
      </c>
      <c r="Q10" s="139">
        <f>'[4]Feb 2023'!Q10+'[5]March 2023'!P10</f>
        <v>0</v>
      </c>
      <c r="R10" s="139">
        <v>0</v>
      </c>
      <c r="S10" s="139">
        <f>'[4]Feb 2023'!S10+'[5]March 2023'!R10</f>
        <v>0</v>
      </c>
      <c r="T10" s="139">
        <f t="shared" si="2"/>
        <v>0.20000000000000007</v>
      </c>
      <c r="U10" s="139">
        <f t="shared" si="3"/>
        <v>365.17299999999989</v>
      </c>
    </row>
    <row r="11" spans="1:21" s="111" customFormat="1" ht="38.25" customHeight="1" x14ac:dyDescent="0.4">
      <c r="A11" s="238" t="s">
        <v>82</v>
      </c>
      <c r="B11" s="239"/>
      <c r="C11" s="141">
        <f>SUM(C7:C10)</f>
        <v>481.78999999999996</v>
      </c>
      <c r="D11" s="141">
        <f t="shared" ref="D11:S11" si="4">SUM(D7:D10)</f>
        <v>0.54</v>
      </c>
      <c r="E11" s="141">
        <f t="shared" si="4"/>
        <v>0.60000000000000009</v>
      </c>
      <c r="F11" s="141">
        <f t="shared" si="4"/>
        <v>0</v>
      </c>
      <c r="G11" s="141">
        <f t="shared" si="4"/>
        <v>82.86</v>
      </c>
      <c r="H11" s="141">
        <f t="shared" si="0"/>
        <v>482.33</v>
      </c>
      <c r="I11" s="141">
        <f t="shared" si="4"/>
        <v>2352.7239999999997</v>
      </c>
      <c r="J11" s="141">
        <f t="shared" si="4"/>
        <v>28.099999999999998</v>
      </c>
      <c r="K11" s="141">
        <f t="shared" si="4"/>
        <v>441.22399999999999</v>
      </c>
      <c r="L11" s="141">
        <f t="shared" si="4"/>
        <v>0</v>
      </c>
      <c r="M11" s="141">
        <f t="shared" si="4"/>
        <v>0</v>
      </c>
      <c r="N11" s="141">
        <f t="shared" si="1"/>
        <v>2380.8239999999996</v>
      </c>
      <c r="O11" s="141">
        <f t="shared" si="4"/>
        <v>119.66600000000001</v>
      </c>
      <c r="P11" s="141">
        <f t="shared" si="4"/>
        <v>0</v>
      </c>
      <c r="Q11" s="141">
        <f t="shared" si="4"/>
        <v>0</v>
      </c>
      <c r="R11" s="141">
        <f t="shared" si="4"/>
        <v>0</v>
      </c>
      <c r="S11" s="141">
        <f t="shared" si="4"/>
        <v>1.01</v>
      </c>
      <c r="T11" s="141">
        <f t="shared" si="2"/>
        <v>119.66600000000001</v>
      </c>
      <c r="U11" s="141">
        <f t="shared" si="3"/>
        <v>2982.8199999999997</v>
      </c>
    </row>
    <row r="12" spans="1:21" ht="38.25" customHeight="1" x14ac:dyDescent="0.35">
      <c r="A12" s="171">
        <v>4</v>
      </c>
      <c r="B12" s="172" t="s">
        <v>83</v>
      </c>
      <c r="C12" s="139">
        <f>'[4]Feb 2023'!H12</f>
        <v>22.179999999999609</v>
      </c>
      <c r="D12" s="139">
        <v>0</v>
      </c>
      <c r="E12" s="139">
        <f>'[4]Feb 2023'!E12+'[5]March 2023'!D12</f>
        <v>0</v>
      </c>
      <c r="F12" s="139">
        <v>0</v>
      </c>
      <c r="G12" s="139">
        <f>'[4]Feb 2023'!G12+'[5]March 2023'!F12</f>
        <v>333.13</v>
      </c>
      <c r="H12" s="139">
        <f t="shared" si="0"/>
        <v>22.179999999999609</v>
      </c>
      <c r="I12" s="139">
        <f>'[4]Feb 2023'!N12</f>
        <v>1274.1549999999997</v>
      </c>
      <c r="J12" s="182">
        <v>2.2799999999999998</v>
      </c>
      <c r="K12" s="139">
        <f>'[4]Feb 2023'!K12+'[5]March 2023'!J12</f>
        <v>471.7299999999999</v>
      </c>
      <c r="L12" s="139">
        <v>0</v>
      </c>
      <c r="M12" s="139">
        <f>'[4]Feb 2023'!M12+'[5]March 2023'!L12</f>
        <v>0</v>
      </c>
      <c r="N12" s="139">
        <f t="shared" si="1"/>
        <v>1276.4349999999997</v>
      </c>
      <c r="O12" s="139">
        <f>'[4]Feb 2023'!T12</f>
        <v>1.9700000000000095</v>
      </c>
      <c r="P12" s="139">
        <v>0</v>
      </c>
      <c r="Q12" s="139">
        <f>'[4]Feb 2023'!Q12+'[5]March 2023'!P12</f>
        <v>2.11</v>
      </c>
      <c r="R12" s="139">
        <v>0</v>
      </c>
      <c r="S12" s="139">
        <f>'[4]Feb 2023'!S12+'[5]March 2023'!R12</f>
        <v>36.99</v>
      </c>
      <c r="T12" s="139">
        <f t="shared" si="2"/>
        <v>1.9700000000000095</v>
      </c>
      <c r="U12" s="139">
        <f t="shared" si="3"/>
        <v>1300.5849999999994</v>
      </c>
    </row>
    <row r="13" spans="1:21" ht="38.25" customHeight="1" x14ac:dyDescent="0.35">
      <c r="A13" s="171">
        <v>5</v>
      </c>
      <c r="B13" s="172" t="s">
        <v>84</v>
      </c>
      <c r="C13" s="139">
        <f>'[4]Feb 2023'!H13</f>
        <v>312.23000000000013</v>
      </c>
      <c r="D13" s="139">
        <v>0</v>
      </c>
      <c r="E13" s="139">
        <f>'[4]Feb 2023'!E13+'[5]March 2023'!D13</f>
        <v>0</v>
      </c>
      <c r="F13" s="139">
        <v>0</v>
      </c>
      <c r="G13" s="139">
        <f>'[4]Feb 2023'!G13+'[5]March 2023'!F13</f>
        <v>0</v>
      </c>
      <c r="H13" s="139">
        <f t="shared" si="0"/>
        <v>312.23000000000013</v>
      </c>
      <c r="I13" s="139">
        <f>'[4]Feb 2023'!N13</f>
        <v>544.11200000000019</v>
      </c>
      <c r="J13" s="182">
        <v>1.42</v>
      </c>
      <c r="K13" s="139">
        <f>'[4]Feb 2023'!K13+'[5]March 2023'!J13</f>
        <v>17.700000000000003</v>
      </c>
      <c r="L13" s="139">
        <v>0</v>
      </c>
      <c r="M13" s="139">
        <f>'[4]Feb 2023'!M13+'[5]March 2023'!L13</f>
        <v>0.7</v>
      </c>
      <c r="N13" s="139">
        <f t="shared" si="1"/>
        <v>545.53200000000015</v>
      </c>
      <c r="O13" s="139">
        <f>'[4]Feb 2023'!T13</f>
        <v>68.39</v>
      </c>
      <c r="P13" s="139">
        <v>0</v>
      </c>
      <c r="Q13" s="139">
        <f>'[4]Feb 2023'!Q13+'[5]March 2023'!P13</f>
        <v>0</v>
      </c>
      <c r="R13" s="139">
        <v>0</v>
      </c>
      <c r="S13" s="139">
        <f>'[4]Feb 2023'!S13+'[5]March 2023'!R13</f>
        <v>0</v>
      </c>
      <c r="T13" s="139">
        <f t="shared" si="2"/>
        <v>68.39</v>
      </c>
      <c r="U13" s="139">
        <f t="shared" si="3"/>
        <v>926.15200000000027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f>'[4]Feb 2023'!H14</f>
        <v>1216.4399999999994</v>
      </c>
      <c r="D14" s="139">
        <v>0</v>
      </c>
      <c r="E14" s="139">
        <f>'[4]Feb 2023'!E14+'[5]March 2023'!D14</f>
        <v>0</v>
      </c>
      <c r="F14" s="139">
        <v>0</v>
      </c>
      <c r="G14" s="139">
        <f>'[4]Feb 2023'!G14+'[5]March 2023'!F14</f>
        <v>0</v>
      </c>
      <c r="H14" s="139">
        <f t="shared" si="0"/>
        <v>1216.4399999999994</v>
      </c>
      <c r="I14" s="139">
        <f>'[4]Feb 2023'!N14</f>
        <v>901.30800000000022</v>
      </c>
      <c r="J14" s="182">
        <v>2.19</v>
      </c>
      <c r="K14" s="139">
        <f>'[4]Feb 2023'!K14+'[5]March 2023'!J14</f>
        <v>38.709999999999994</v>
      </c>
      <c r="L14" s="139">
        <v>0</v>
      </c>
      <c r="M14" s="139">
        <f>'[4]Feb 2023'!M14+'[5]March 2023'!L14</f>
        <v>0</v>
      </c>
      <c r="N14" s="139">
        <f t="shared" si="1"/>
        <v>903.49800000000027</v>
      </c>
      <c r="O14" s="139">
        <f>'[4]Feb 2023'!T14</f>
        <v>61.329999999999991</v>
      </c>
      <c r="P14" s="139">
        <v>0</v>
      </c>
      <c r="Q14" s="139">
        <f>'[4]Feb 2023'!Q14+'[5]March 2023'!P14</f>
        <v>0</v>
      </c>
      <c r="R14" s="139">
        <v>0</v>
      </c>
      <c r="S14" s="139">
        <f>'[4]Feb 2023'!S14+'[5]March 2023'!R14</f>
        <v>0</v>
      </c>
      <c r="T14" s="139">
        <f t="shared" si="2"/>
        <v>61.329999999999991</v>
      </c>
      <c r="U14" s="139">
        <f t="shared" si="3"/>
        <v>2181.2679999999996</v>
      </c>
    </row>
    <row r="15" spans="1:21" s="111" customFormat="1" ht="38.25" customHeight="1" x14ac:dyDescent="0.4">
      <c r="A15" s="238" t="s">
        <v>86</v>
      </c>
      <c r="B15" s="239"/>
      <c r="C15" s="141">
        <f>SUM(C12:C14)</f>
        <v>1550.849999999999</v>
      </c>
      <c r="D15" s="141">
        <f t="shared" ref="D15:S15" si="5">SUM(D12:D14)</f>
        <v>0</v>
      </c>
      <c r="E15" s="141">
        <f t="shared" si="5"/>
        <v>0</v>
      </c>
      <c r="F15" s="141">
        <f t="shared" si="5"/>
        <v>0</v>
      </c>
      <c r="G15" s="141">
        <f t="shared" si="5"/>
        <v>333.13</v>
      </c>
      <c r="H15" s="141">
        <f t="shared" si="0"/>
        <v>1550.849999999999</v>
      </c>
      <c r="I15" s="141">
        <f t="shared" si="5"/>
        <v>2719.5749999999998</v>
      </c>
      <c r="J15" s="141">
        <f t="shared" si="5"/>
        <v>5.89</v>
      </c>
      <c r="K15" s="141">
        <f t="shared" si="5"/>
        <v>528.13999999999987</v>
      </c>
      <c r="L15" s="141">
        <f t="shared" si="5"/>
        <v>0</v>
      </c>
      <c r="M15" s="141">
        <f t="shared" si="5"/>
        <v>0.7</v>
      </c>
      <c r="N15" s="141">
        <f t="shared" si="1"/>
        <v>2725.4649999999997</v>
      </c>
      <c r="O15" s="141">
        <f t="shared" si="5"/>
        <v>131.69</v>
      </c>
      <c r="P15" s="141">
        <f t="shared" si="5"/>
        <v>0</v>
      </c>
      <c r="Q15" s="141">
        <f t="shared" si="5"/>
        <v>2.11</v>
      </c>
      <c r="R15" s="141">
        <f t="shared" si="5"/>
        <v>0</v>
      </c>
      <c r="S15" s="141">
        <f t="shared" si="5"/>
        <v>36.99</v>
      </c>
      <c r="T15" s="141">
        <f t="shared" si="2"/>
        <v>131.69</v>
      </c>
      <c r="U15" s="141">
        <f t="shared" si="3"/>
        <v>4408.0049999999983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f>'[4]Feb 2023'!H16</f>
        <v>759.62400000000036</v>
      </c>
      <c r="D16" s="139">
        <v>0.55000000000000004</v>
      </c>
      <c r="E16" s="139">
        <f>'[4]Feb 2023'!E16+'[5]March 2023'!D16</f>
        <v>10.060000000000002</v>
      </c>
      <c r="F16" s="139">
        <v>4.01</v>
      </c>
      <c r="G16" s="139">
        <f>'[4]Feb 2023'!G16+'[5]March 2023'!F16</f>
        <v>247.73999999999998</v>
      </c>
      <c r="H16" s="139">
        <f t="shared" si="0"/>
        <v>756.16400000000033</v>
      </c>
      <c r="I16" s="139">
        <f>'[4]Feb 2023'!N16</f>
        <v>576.4860000000001</v>
      </c>
      <c r="J16" s="139">
        <v>0.49</v>
      </c>
      <c r="K16" s="139">
        <f>'[4]Feb 2023'!K16+'[5]March 2023'!J16</f>
        <v>277.92999999999995</v>
      </c>
      <c r="L16" s="139">
        <v>0</v>
      </c>
      <c r="M16" s="139">
        <f>'[4]Feb 2023'!M16+'[5]March 2023'!L16</f>
        <v>0</v>
      </c>
      <c r="N16" s="139">
        <f t="shared" si="1"/>
        <v>576.97600000000011</v>
      </c>
      <c r="O16" s="139">
        <f>'[4]Feb 2023'!T16</f>
        <v>177.44200000000004</v>
      </c>
      <c r="P16" s="139">
        <v>0</v>
      </c>
      <c r="Q16" s="139">
        <f>'[4]Feb 2023'!Q16+'[5]March 2023'!P16</f>
        <v>0.03</v>
      </c>
      <c r="R16" s="139">
        <v>0</v>
      </c>
      <c r="S16" s="139">
        <f>'[4]Feb 2023'!S16+'[5]March 2023'!R16</f>
        <v>0</v>
      </c>
      <c r="T16" s="139">
        <f t="shared" si="2"/>
        <v>177.44200000000004</v>
      </c>
      <c r="U16" s="139">
        <f t="shared" si="3"/>
        <v>1510.5820000000003</v>
      </c>
    </row>
    <row r="17" spans="1:21" ht="38.25" customHeight="1" x14ac:dyDescent="0.35">
      <c r="A17" s="171">
        <v>9</v>
      </c>
      <c r="B17" s="172" t="s">
        <v>120</v>
      </c>
      <c r="C17" s="139">
        <f>'[4]Feb 2023'!H17</f>
        <v>2.6759999999999478</v>
      </c>
      <c r="D17" s="139">
        <v>0</v>
      </c>
      <c r="E17" s="139">
        <f>'[4]Feb 2023'!E17+'[5]March 2023'!D17</f>
        <v>0</v>
      </c>
      <c r="F17" s="139">
        <v>0</v>
      </c>
      <c r="G17" s="139">
        <f>'[4]Feb 2023'!G17+'[5]March 2023'!F17</f>
        <v>3.74</v>
      </c>
      <c r="H17" s="139">
        <f t="shared" si="0"/>
        <v>2.6759999999999478</v>
      </c>
      <c r="I17" s="139">
        <f>'[4]Feb 2023'!N17</f>
        <v>586.49</v>
      </c>
      <c r="J17" s="139">
        <v>2.63</v>
      </c>
      <c r="K17" s="139">
        <f>'[4]Feb 2023'!K17+'[5]March 2023'!J17</f>
        <v>77.37</v>
      </c>
      <c r="L17" s="139">
        <v>0</v>
      </c>
      <c r="M17" s="139">
        <f>'[4]Feb 2023'!M17+'[5]March 2023'!L17</f>
        <v>0</v>
      </c>
      <c r="N17" s="139">
        <f t="shared" si="1"/>
        <v>589.12</v>
      </c>
      <c r="O17" s="139">
        <f>'[4]Feb 2023'!T17</f>
        <v>1.9500000000000002</v>
      </c>
      <c r="P17" s="139">
        <v>0</v>
      </c>
      <c r="Q17" s="139">
        <f>'[4]Feb 2023'!Q17+'[5]March 2023'!P17</f>
        <v>1.3399999999999999</v>
      </c>
      <c r="R17" s="139">
        <v>0</v>
      </c>
      <c r="S17" s="139">
        <f>'[4]Feb 2023'!S17+'[5]March 2023'!R17</f>
        <v>5.72</v>
      </c>
      <c r="T17" s="139">
        <f t="shared" si="2"/>
        <v>1.9500000000000002</v>
      </c>
      <c r="U17" s="139">
        <f t="shared" si="3"/>
        <v>593.74599999999998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f>'[4]Feb 2023'!H18</f>
        <v>90.316000000000145</v>
      </c>
      <c r="D18" s="139">
        <v>0.05</v>
      </c>
      <c r="E18" s="139">
        <f>'[4]Feb 2023'!E18+'[5]March 2023'!D18</f>
        <v>1.4500000000000002</v>
      </c>
      <c r="F18" s="139">
        <v>0.1</v>
      </c>
      <c r="G18" s="139">
        <f>'[4]Feb 2023'!G18+'[5]March 2023'!F18</f>
        <v>46.96</v>
      </c>
      <c r="H18" s="139">
        <f t="shared" si="0"/>
        <v>90.266000000000147</v>
      </c>
      <c r="I18" s="139">
        <f>'[4]Feb 2023'!N18</f>
        <v>617.27700000000004</v>
      </c>
      <c r="J18" s="139">
        <v>0.318</v>
      </c>
      <c r="K18" s="139">
        <f>'[4]Feb 2023'!K18+'[5]March 2023'!J18</f>
        <v>132.398</v>
      </c>
      <c r="L18" s="139">
        <v>0.3</v>
      </c>
      <c r="M18" s="139">
        <f>'[4]Feb 2023'!M18+'[5]March 2023'!L18</f>
        <v>0.64</v>
      </c>
      <c r="N18" s="139">
        <f t="shared" si="1"/>
        <v>617.29500000000007</v>
      </c>
      <c r="O18" s="139">
        <f>'[4]Feb 2023'!T18</f>
        <v>35.689999999999991</v>
      </c>
      <c r="P18" s="139">
        <v>0</v>
      </c>
      <c r="Q18" s="139">
        <f>'[4]Feb 2023'!Q18+'[5]March 2023'!P18</f>
        <v>0.89999999999999991</v>
      </c>
      <c r="R18" s="139">
        <v>0</v>
      </c>
      <c r="S18" s="139">
        <f>'[4]Feb 2023'!S18+'[5]March 2023'!R18</f>
        <v>4.08</v>
      </c>
      <c r="T18" s="139">
        <f t="shared" si="2"/>
        <v>35.689999999999991</v>
      </c>
      <c r="U18" s="139">
        <f t="shared" si="3"/>
        <v>743.2510000000002</v>
      </c>
    </row>
    <row r="19" spans="1:21" s="111" customFormat="1" ht="38.25" customHeight="1" x14ac:dyDescent="0.4">
      <c r="A19" s="238" t="s">
        <v>89</v>
      </c>
      <c r="B19" s="239"/>
      <c r="C19" s="141">
        <f>SUM(C16:C18)</f>
        <v>852.61600000000044</v>
      </c>
      <c r="D19" s="141">
        <f t="shared" ref="D19:S19" si="6">SUM(D16:D18)</f>
        <v>0.60000000000000009</v>
      </c>
      <c r="E19" s="141">
        <f t="shared" si="6"/>
        <v>11.510000000000002</v>
      </c>
      <c r="F19" s="141">
        <f t="shared" si="6"/>
        <v>4.1099999999999994</v>
      </c>
      <c r="G19" s="141">
        <f t="shared" si="6"/>
        <v>298.44</v>
      </c>
      <c r="H19" s="141">
        <f t="shared" si="0"/>
        <v>849.10600000000045</v>
      </c>
      <c r="I19" s="141">
        <f t="shared" si="6"/>
        <v>1780.2530000000002</v>
      </c>
      <c r="J19" s="141">
        <f t="shared" si="6"/>
        <v>3.4380000000000002</v>
      </c>
      <c r="K19" s="141">
        <f t="shared" si="6"/>
        <v>487.69799999999998</v>
      </c>
      <c r="L19" s="141">
        <f t="shared" si="6"/>
        <v>0.3</v>
      </c>
      <c r="M19" s="141">
        <f t="shared" si="6"/>
        <v>0.64</v>
      </c>
      <c r="N19" s="141">
        <f t="shared" si="1"/>
        <v>1783.3910000000003</v>
      </c>
      <c r="O19" s="141">
        <f t="shared" si="6"/>
        <v>215.08200000000002</v>
      </c>
      <c r="P19" s="141">
        <f t="shared" si="6"/>
        <v>0</v>
      </c>
      <c r="Q19" s="141">
        <f t="shared" si="6"/>
        <v>2.2699999999999996</v>
      </c>
      <c r="R19" s="141">
        <f t="shared" si="6"/>
        <v>0</v>
      </c>
      <c r="S19" s="141">
        <f t="shared" si="6"/>
        <v>9.8000000000000007</v>
      </c>
      <c r="T19" s="141">
        <f t="shared" si="2"/>
        <v>215.08200000000002</v>
      </c>
      <c r="U19" s="141">
        <f t="shared" si="3"/>
        <v>2847.5790000000006</v>
      </c>
    </row>
    <row r="20" spans="1:21" ht="38.25" customHeight="1" x14ac:dyDescent="0.35">
      <c r="A20" s="171">
        <v>8</v>
      </c>
      <c r="B20" s="172" t="s">
        <v>91</v>
      </c>
      <c r="C20" s="139">
        <f>'[4]Feb 2023'!H20</f>
        <v>607.42999999999984</v>
      </c>
      <c r="D20" s="139">
        <v>0</v>
      </c>
      <c r="E20" s="139">
        <f>'[4]Feb 2023'!E20+'[5]March 2023'!D20</f>
        <v>1.77</v>
      </c>
      <c r="F20" s="139">
        <v>0</v>
      </c>
      <c r="G20" s="139">
        <f>'[4]Feb 2023'!G20+'[5]March 2023'!F20</f>
        <v>24.91</v>
      </c>
      <c r="H20" s="139">
        <f t="shared" si="0"/>
        <v>607.42999999999984</v>
      </c>
      <c r="I20" s="139">
        <f>'[4]Feb 2023'!N20</f>
        <v>735.88800000000026</v>
      </c>
      <c r="J20" s="139">
        <v>12.52</v>
      </c>
      <c r="K20" s="139">
        <f>'[4]Feb 2023'!K20+'[5]March 2023'!J20</f>
        <v>350.26</v>
      </c>
      <c r="L20" s="139">
        <v>0</v>
      </c>
      <c r="M20" s="139">
        <f>'[4]Feb 2023'!M20+'[5]March 2023'!L20</f>
        <v>1.04</v>
      </c>
      <c r="N20" s="139">
        <f t="shared" si="1"/>
        <v>748.40800000000024</v>
      </c>
      <c r="O20" s="139">
        <f>'[4]Feb 2023'!T20</f>
        <v>37.580000000000005</v>
      </c>
      <c r="P20" s="139">
        <v>0</v>
      </c>
      <c r="Q20" s="139">
        <f>'[4]Feb 2023'!Q20+'[5]March 2023'!P20</f>
        <v>0</v>
      </c>
      <c r="R20" s="139">
        <v>0</v>
      </c>
      <c r="S20" s="139">
        <f>'[4]Feb 2023'!S20+'[5]March 2023'!R20</f>
        <v>2.77</v>
      </c>
      <c r="T20" s="139">
        <f t="shared" si="2"/>
        <v>37.580000000000005</v>
      </c>
      <c r="U20" s="139">
        <f t="shared" si="3"/>
        <v>1393.4180000000001</v>
      </c>
    </row>
    <row r="21" spans="1:21" ht="38.25" customHeight="1" x14ac:dyDescent="0.35">
      <c r="A21" s="171">
        <v>9</v>
      </c>
      <c r="B21" s="172" t="s">
        <v>90</v>
      </c>
      <c r="C21" s="139">
        <f>'[4]Feb 2023'!H21</f>
        <v>2.0700000000000003</v>
      </c>
      <c r="D21" s="139">
        <v>0</v>
      </c>
      <c r="E21" s="139">
        <f>'[4]Feb 2023'!E21+'[5]March 2023'!D21</f>
        <v>0</v>
      </c>
      <c r="F21" s="139">
        <v>0</v>
      </c>
      <c r="G21" s="139">
        <f>'[4]Feb 2023'!G21+'[5]March 2023'!F21</f>
        <v>20.440000000000001</v>
      </c>
      <c r="H21" s="139">
        <f t="shared" si="0"/>
        <v>2.0700000000000003</v>
      </c>
      <c r="I21" s="139">
        <f>'[4]Feb 2023'!N21</f>
        <v>460.25700000000006</v>
      </c>
      <c r="J21" s="139">
        <v>1.17</v>
      </c>
      <c r="K21" s="139">
        <f>'[4]Feb 2023'!K21+'[5]March 2023'!J21</f>
        <v>63.31</v>
      </c>
      <c r="L21" s="139">
        <v>0</v>
      </c>
      <c r="M21" s="139">
        <f>'[4]Feb 2023'!M21+'[5]March 2023'!L21</f>
        <v>0</v>
      </c>
      <c r="N21" s="139">
        <f t="shared" si="1"/>
        <v>461.42700000000008</v>
      </c>
      <c r="O21" s="139">
        <f>'[4]Feb 2023'!T21</f>
        <v>18.289999999999996</v>
      </c>
      <c r="P21" s="139">
        <v>1.2</v>
      </c>
      <c r="Q21" s="139">
        <f>'[4]Feb 2023'!Q21+'[5]March 2023'!P21</f>
        <v>1.3199999999999998</v>
      </c>
      <c r="R21" s="139">
        <v>0.6</v>
      </c>
      <c r="S21" s="139">
        <f>'[4]Feb 2023'!S21+'[5]March 2023'!R21</f>
        <v>1.7999999999999998</v>
      </c>
      <c r="T21" s="139">
        <f t="shared" si="2"/>
        <v>18.889999999999993</v>
      </c>
      <c r="U21" s="139">
        <f t="shared" si="3"/>
        <v>482.38700000000006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f>'[4]Feb 2023'!H22</f>
        <v>22.430000000000021</v>
      </c>
      <c r="D22" s="139">
        <v>0</v>
      </c>
      <c r="E22" s="139">
        <f>'[4]Feb 2023'!E22+'[5]March 2023'!D22</f>
        <v>0</v>
      </c>
      <c r="F22" s="139">
        <v>0</v>
      </c>
      <c r="G22" s="139">
        <f>'[4]Feb 2023'!G22+'[5]March 2023'!F22</f>
        <v>0</v>
      </c>
      <c r="H22" s="139">
        <f t="shared" si="0"/>
        <v>22.430000000000021</v>
      </c>
      <c r="I22" s="139">
        <f>'[4]Feb 2023'!N22</f>
        <v>697.92000000000019</v>
      </c>
      <c r="J22" s="139">
        <v>0.3</v>
      </c>
      <c r="K22" s="139">
        <f>'[4]Feb 2023'!K22+'[5]March 2023'!J22</f>
        <v>9.3299999999999983</v>
      </c>
      <c r="L22" s="139">
        <v>0</v>
      </c>
      <c r="M22" s="139">
        <f>'[4]Feb 2023'!M22+'[5]March 2023'!L22</f>
        <v>0.08</v>
      </c>
      <c r="N22" s="139">
        <f t="shared" si="1"/>
        <v>698.22000000000014</v>
      </c>
      <c r="O22" s="139">
        <f>'[4]Feb 2023'!T22</f>
        <v>0.60000000000000098</v>
      </c>
      <c r="P22" s="139">
        <v>0</v>
      </c>
      <c r="Q22" s="139">
        <f>'[4]Feb 2023'!Q22+'[5]March 2023'!P22</f>
        <v>0</v>
      </c>
      <c r="R22" s="139">
        <v>0</v>
      </c>
      <c r="S22" s="139">
        <f>'[4]Feb 2023'!S22+'[5]March 2023'!R22</f>
        <v>0</v>
      </c>
      <c r="T22" s="139">
        <f t="shared" si="2"/>
        <v>0.60000000000000098</v>
      </c>
      <c r="U22" s="139">
        <f t="shared" si="3"/>
        <v>721.25000000000023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f>'[4]Feb 2023'!H23</f>
        <v>430.64</v>
      </c>
      <c r="D23" s="139">
        <v>0</v>
      </c>
      <c r="E23" s="139">
        <f>'[4]Feb 2023'!E23+'[5]March 2023'!D23</f>
        <v>3.4</v>
      </c>
      <c r="F23" s="139">
        <v>0</v>
      </c>
      <c r="G23" s="139">
        <f>'[4]Feb 2023'!G23+'[5]March 2023'!F23</f>
        <v>0</v>
      </c>
      <c r="H23" s="139">
        <f t="shared" si="0"/>
        <v>430.64</v>
      </c>
      <c r="I23" s="139">
        <f>'[4]Feb 2023'!N23</f>
        <v>137.83499999999998</v>
      </c>
      <c r="J23" s="139">
        <v>1.72</v>
      </c>
      <c r="K23" s="139">
        <f>'[4]Feb 2023'!K23+'[5]March 2023'!J23</f>
        <v>37.67</v>
      </c>
      <c r="L23" s="139">
        <v>0</v>
      </c>
      <c r="M23" s="139">
        <f>'[4]Feb 2023'!M23+'[5]March 2023'!L23</f>
        <v>0</v>
      </c>
      <c r="N23" s="139">
        <f t="shared" si="1"/>
        <v>139.55499999999998</v>
      </c>
      <c r="O23" s="139">
        <f>'[4]Feb 2023'!T23</f>
        <v>22.5</v>
      </c>
      <c r="P23" s="139">
        <v>0</v>
      </c>
      <c r="Q23" s="139">
        <f>'[4]Feb 2023'!Q23+'[5]March 2023'!P23</f>
        <v>0</v>
      </c>
      <c r="R23" s="139">
        <v>0</v>
      </c>
      <c r="S23" s="139">
        <f>'[4]Feb 2023'!S23+'[5]March 2023'!R23</f>
        <v>0</v>
      </c>
      <c r="T23" s="139">
        <f t="shared" si="2"/>
        <v>22.5</v>
      </c>
      <c r="U23" s="139">
        <f t="shared" si="3"/>
        <v>592.69499999999994</v>
      </c>
    </row>
    <row r="24" spans="1:21" s="111" customFormat="1" ht="38.25" customHeight="1" x14ac:dyDescent="0.4">
      <c r="A24" s="240" t="s">
        <v>94</v>
      </c>
      <c r="B24" s="240"/>
      <c r="C24" s="141">
        <f>SUM(C20:C23)</f>
        <v>1062.57</v>
      </c>
      <c r="D24" s="141">
        <f t="shared" ref="D24:S24" si="7">SUM(D20:D23)</f>
        <v>0</v>
      </c>
      <c r="E24" s="141">
        <f t="shared" si="7"/>
        <v>5.17</v>
      </c>
      <c r="F24" s="141">
        <f t="shared" si="7"/>
        <v>0</v>
      </c>
      <c r="G24" s="141">
        <f t="shared" si="7"/>
        <v>45.35</v>
      </c>
      <c r="H24" s="141">
        <f t="shared" si="0"/>
        <v>1062.57</v>
      </c>
      <c r="I24" s="141">
        <f t="shared" si="7"/>
        <v>2031.9000000000005</v>
      </c>
      <c r="J24" s="141">
        <f t="shared" si="7"/>
        <v>15.71</v>
      </c>
      <c r="K24" s="141">
        <f t="shared" si="7"/>
        <v>460.57</v>
      </c>
      <c r="L24" s="141">
        <f t="shared" si="7"/>
        <v>0</v>
      </c>
      <c r="M24" s="141">
        <f t="shared" si="7"/>
        <v>1.1200000000000001</v>
      </c>
      <c r="N24" s="141">
        <f t="shared" si="1"/>
        <v>2047.6100000000006</v>
      </c>
      <c r="O24" s="141">
        <f t="shared" si="7"/>
        <v>78.97</v>
      </c>
      <c r="P24" s="141">
        <f t="shared" si="7"/>
        <v>1.2</v>
      </c>
      <c r="Q24" s="141">
        <f t="shared" si="7"/>
        <v>1.3199999999999998</v>
      </c>
      <c r="R24" s="141">
        <f t="shared" si="7"/>
        <v>0.6</v>
      </c>
      <c r="S24" s="141">
        <f t="shared" si="7"/>
        <v>4.57</v>
      </c>
      <c r="T24" s="141">
        <f t="shared" si="2"/>
        <v>79.570000000000007</v>
      </c>
      <c r="U24" s="141">
        <f t="shared" si="3"/>
        <v>3189.7500000000005</v>
      </c>
    </row>
    <row r="25" spans="1:21" s="145" customFormat="1" ht="38.25" customHeight="1" x14ac:dyDescent="0.4">
      <c r="A25" s="241" t="s">
        <v>95</v>
      </c>
      <c r="B25" s="242"/>
      <c r="C25" s="141">
        <f>C24+C19+C15+C11</f>
        <v>3947.8259999999991</v>
      </c>
      <c r="D25" s="141">
        <f t="shared" ref="D25:S25" si="8">D24+D19+D15+D11</f>
        <v>1.1400000000000001</v>
      </c>
      <c r="E25" s="141">
        <f t="shared" si="8"/>
        <v>17.28</v>
      </c>
      <c r="F25" s="141">
        <f t="shared" si="8"/>
        <v>4.1099999999999994</v>
      </c>
      <c r="G25" s="141">
        <f t="shared" si="8"/>
        <v>759.78000000000009</v>
      </c>
      <c r="H25" s="141">
        <f t="shared" si="0"/>
        <v>3944.8559999999989</v>
      </c>
      <c r="I25" s="141">
        <f t="shared" si="8"/>
        <v>8884.4520000000011</v>
      </c>
      <c r="J25" s="141">
        <f t="shared" si="8"/>
        <v>53.137999999999998</v>
      </c>
      <c r="K25" s="141">
        <f t="shared" si="8"/>
        <v>1917.6319999999998</v>
      </c>
      <c r="L25" s="141">
        <f t="shared" si="8"/>
        <v>0.3</v>
      </c>
      <c r="M25" s="141">
        <f t="shared" si="8"/>
        <v>2.46</v>
      </c>
      <c r="N25" s="141">
        <f t="shared" si="1"/>
        <v>8937.2900000000027</v>
      </c>
      <c r="O25" s="141">
        <f t="shared" si="8"/>
        <v>545.40800000000002</v>
      </c>
      <c r="P25" s="141">
        <f t="shared" si="8"/>
        <v>1.2</v>
      </c>
      <c r="Q25" s="141">
        <f t="shared" si="8"/>
        <v>5.6999999999999993</v>
      </c>
      <c r="R25" s="141">
        <f t="shared" si="8"/>
        <v>0.6</v>
      </c>
      <c r="S25" s="141">
        <f t="shared" si="8"/>
        <v>52.37</v>
      </c>
      <c r="T25" s="141">
        <f t="shared" si="2"/>
        <v>546.00800000000004</v>
      </c>
      <c r="U25" s="141">
        <f t="shared" si="3"/>
        <v>13428.154</v>
      </c>
    </row>
    <row r="26" spans="1:21" ht="38.25" customHeight="1" x14ac:dyDescent="0.35">
      <c r="A26" s="171">
        <v>15</v>
      </c>
      <c r="B26" s="172" t="s">
        <v>96</v>
      </c>
      <c r="C26" s="139">
        <f>'[4]Feb 2023'!H26</f>
        <v>1606.24</v>
      </c>
      <c r="D26" s="139">
        <v>22.05</v>
      </c>
      <c r="E26" s="139">
        <f>'[4]Feb 2023'!E26+'[5]March 2023'!D26</f>
        <v>75.309999999999988</v>
      </c>
      <c r="F26" s="139">
        <v>0</v>
      </c>
      <c r="G26" s="139">
        <f>'[4]Feb 2023'!G26+'[5]March 2023'!F26</f>
        <v>0</v>
      </c>
      <c r="H26" s="139">
        <f t="shared" si="0"/>
        <v>1628.29</v>
      </c>
      <c r="I26" s="139">
        <f>'[4]Feb 2023'!N26</f>
        <v>118.94</v>
      </c>
      <c r="J26" s="139">
        <v>2.61</v>
      </c>
      <c r="K26" s="139">
        <f>'[4]Feb 2023'!K26+'[5]March 2023'!J26</f>
        <v>54.22</v>
      </c>
      <c r="L26" s="139">
        <v>0</v>
      </c>
      <c r="M26" s="139">
        <f>'[4]Feb 2023'!M26+'[5]March 2023'!L26</f>
        <v>0</v>
      </c>
      <c r="N26" s="139">
        <f t="shared" si="1"/>
        <v>121.55</v>
      </c>
      <c r="O26" s="139">
        <f>'[4]Feb 2023'!T26</f>
        <v>16.369999999999997</v>
      </c>
      <c r="P26" s="139">
        <v>0</v>
      </c>
      <c r="Q26" s="139">
        <f>'[4]Feb 2023'!Q26+'[5]March 2023'!P26</f>
        <v>0.26</v>
      </c>
      <c r="R26" s="139">
        <v>0</v>
      </c>
      <c r="S26" s="139">
        <f>'[4]Feb 2023'!S26+'[5]March 2023'!R26</f>
        <v>0</v>
      </c>
      <c r="T26" s="139">
        <f t="shared" si="2"/>
        <v>16.369999999999997</v>
      </c>
      <c r="U26" s="139">
        <f t="shared" si="3"/>
        <v>1766.2099999999998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f>'[4]Feb 2023'!H27</f>
        <v>5677.6650000000045</v>
      </c>
      <c r="D27" s="139">
        <v>7.71</v>
      </c>
      <c r="E27" s="139">
        <f>'[4]Feb 2023'!E27+'[5]March 2023'!D27</f>
        <v>108.66999999999999</v>
      </c>
      <c r="F27" s="139">
        <v>0</v>
      </c>
      <c r="G27" s="139">
        <f>'[4]Feb 2023'!G27+'[5]March 2023'!F27</f>
        <v>0</v>
      </c>
      <c r="H27" s="139">
        <f t="shared" si="0"/>
        <v>5685.3750000000045</v>
      </c>
      <c r="I27" s="139">
        <f>'[4]Feb 2023'!N27</f>
        <v>622.88799999999992</v>
      </c>
      <c r="J27" s="139">
        <v>11.29</v>
      </c>
      <c r="K27" s="139">
        <f>'[4]Feb 2023'!K27+'[5]March 2023'!J27</f>
        <v>39.99</v>
      </c>
      <c r="L27" s="139">
        <v>0</v>
      </c>
      <c r="M27" s="139">
        <f>'[4]Feb 2023'!M27+'[5]March 2023'!L27</f>
        <v>0</v>
      </c>
      <c r="N27" s="139">
        <f t="shared" si="1"/>
        <v>634.17799999999988</v>
      </c>
      <c r="O27" s="139">
        <f>'[4]Feb 2023'!T27</f>
        <v>33.760000000000005</v>
      </c>
      <c r="P27" s="139">
        <v>0.04</v>
      </c>
      <c r="Q27" s="139">
        <f>'[4]Feb 2023'!Q27+'[5]March 2023'!P27</f>
        <v>0.31</v>
      </c>
      <c r="R27" s="139">
        <v>0</v>
      </c>
      <c r="S27" s="139">
        <f>'[4]Feb 2023'!S27+'[5]March 2023'!R27</f>
        <v>0</v>
      </c>
      <c r="T27" s="139">
        <f t="shared" si="2"/>
        <v>33.800000000000004</v>
      </c>
      <c r="U27" s="139">
        <f t="shared" si="3"/>
        <v>6353.3530000000046</v>
      </c>
    </row>
    <row r="28" spans="1:21" s="111" customFormat="1" ht="38.25" customHeight="1" x14ac:dyDescent="0.4">
      <c r="A28" s="240" t="s">
        <v>98</v>
      </c>
      <c r="B28" s="240"/>
      <c r="C28" s="141">
        <f>SUM(C26:C27)</f>
        <v>7283.9050000000043</v>
      </c>
      <c r="D28" s="141">
        <f t="shared" ref="D28:S28" si="9">SUM(D26:D27)</f>
        <v>29.76</v>
      </c>
      <c r="E28" s="141">
        <f t="shared" si="9"/>
        <v>183.97999999999996</v>
      </c>
      <c r="F28" s="141">
        <f t="shared" si="9"/>
        <v>0</v>
      </c>
      <c r="G28" s="141">
        <f t="shared" si="9"/>
        <v>0</v>
      </c>
      <c r="H28" s="141">
        <f t="shared" si="0"/>
        <v>7313.6650000000045</v>
      </c>
      <c r="I28" s="141">
        <f t="shared" si="9"/>
        <v>741.82799999999997</v>
      </c>
      <c r="J28" s="141">
        <f t="shared" si="9"/>
        <v>13.899999999999999</v>
      </c>
      <c r="K28" s="141">
        <f t="shared" si="9"/>
        <v>94.210000000000008</v>
      </c>
      <c r="L28" s="141">
        <f t="shared" si="9"/>
        <v>0</v>
      </c>
      <c r="M28" s="141">
        <f t="shared" si="9"/>
        <v>0</v>
      </c>
      <c r="N28" s="141">
        <f t="shared" si="1"/>
        <v>755.72799999999995</v>
      </c>
      <c r="O28" s="141">
        <f t="shared" si="9"/>
        <v>50.13</v>
      </c>
      <c r="P28" s="141">
        <f t="shared" si="9"/>
        <v>0.04</v>
      </c>
      <c r="Q28" s="141">
        <f t="shared" si="9"/>
        <v>0.57000000000000006</v>
      </c>
      <c r="R28" s="141">
        <f t="shared" si="9"/>
        <v>0</v>
      </c>
      <c r="S28" s="141">
        <f t="shared" si="9"/>
        <v>0</v>
      </c>
      <c r="T28" s="141">
        <f t="shared" si="2"/>
        <v>50.17</v>
      </c>
      <c r="U28" s="141">
        <f t="shared" si="3"/>
        <v>8119.5630000000046</v>
      </c>
    </row>
    <row r="29" spans="1:21" ht="38.25" customHeight="1" x14ac:dyDescent="0.35">
      <c r="A29" s="171">
        <v>17</v>
      </c>
      <c r="B29" s="172" t="s">
        <v>99</v>
      </c>
      <c r="C29" s="139">
        <f>'[4]Feb 2023'!H29</f>
        <v>4879.3380000000006</v>
      </c>
      <c r="D29" s="139">
        <v>1.7</v>
      </c>
      <c r="E29" s="139">
        <f>'[4]Feb 2023'!E29+'[5]March 2023'!D29</f>
        <v>227.57</v>
      </c>
      <c r="F29" s="139">
        <v>0</v>
      </c>
      <c r="G29" s="139">
        <f>'[4]Feb 2023'!G29+'[5]March 2023'!F29</f>
        <v>0</v>
      </c>
      <c r="H29" s="139">
        <f t="shared" si="0"/>
        <v>4881.0380000000005</v>
      </c>
      <c r="I29" s="139">
        <f>'[4]Feb 2023'!N29</f>
        <v>121.53000000000002</v>
      </c>
      <c r="J29" s="139">
        <v>0</v>
      </c>
      <c r="K29" s="139">
        <f>'[4]Feb 2023'!K29+'[5]March 2023'!J29</f>
        <v>2.14</v>
      </c>
      <c r="L29" s="139">
        <v>0</v>
      </c>
      <c r="M29" s="139">
        <f>'[4]Feb 2023'!M29+'[5]March 2023'!L29</f>
        <v>0</v>
      </c>
      <c r="N29" s="139">
        <f t="shared" si="1"/>
        <v>121.53000000000002</v>
      </c>
      <c r="O29" s="139">
        <f>'[4]Feb 2023'!T29</f>
        <v>34.52000000000001</v>
      </c>
      <c r="P29" s="139">
        <v>0</v>
      </c>
      <c r="Q29" s="139">
        <f>'[4]Feb 2023'!Q29+'[5]March 2023'!P29</f>
        <v>0</v>
      </c>
      <c r="R29" s="139">
        <v>0</v>
      </c>
      <c r="S29" s="139">
        <f>'[4]Feb 2023'!S29+'[5]March 2023'!R29</f>
        <v>23.2</v>
      </c>
      <c r="T29" s="139">
        <f t="shared" si="2"/>
        <v>34.52000000000001</v>
      </c>
      <c r="U29" s="139">
        <f t="shared" si="3"/>
        <v>5037.0880000000006</v>
      </c>
    </row>
    <row r="30" spans="1:21" ht="38.25" customHeight="1" x14ac:dyDescent="0.35">
      <c r="A30" s="171">
        <v>18</v>
      </c>
      <c r="B30" s="172" t="s">
        <v>100</v>
      </c>
      <c r="C30" s="139">
        <f>'[4]Feb 2023'!H30</f>
        <v>3693.9499999999994</v>
      </c>
      <c r="D30" s="139">
        <v>8.1999999999999993</v>
      </c>
      <c r="E30" s="139">
        <f>'[4]Feb 2023'!E30+'[5]March 2023'!D30</f>
        <v>89.810000000000016</v>
      </c>
      <c r="F30" s="139">
        <v>0</v>
      </c>
      <c r="G30" s="139">
        <f>'[4]Feb 2023'!G30+'[5]March 2023'!F30</f>
        <v>0</v>
      </c>
      <c r="H30" s="139">
        <f t="shared" si="0"/>
        <v>3702.1499999999992</v>
      </c>
      <c r="I30" s="139">
        <f>'[4]Feb 2023'!N30</f>
        <v>198.58699999999999</v>
      </c>
      <c r="J30" s="139">
        <v>0</v>
      </c>
      <c r="K30" s="139">
        <f>'[4]Feb 2023'!K30+'[5]March 2023'!J30</f>
        <v>88</v>
      </c>
      <c r="L30" s="139">
        <v>0</v>
      </c>
      <c r="M30" s="139">
        <f>'[4]Feb 2023'!M30+'[5]March 2023'!L30</f>
        <v>0</v>
      </c>
      <c r="N30" s="139">
        <f t="shared" si="1"/>
        <v>198.58699999999999</v>
      </c>
      <c r="O30" s="139">
        <f>'[4]Feb 2023'!T30</f>
        <v>23.25</v>
      </c>
      <c r="P30" s="139">
        <v>0</v>
      </c>
      <c r="Q30" s="139">
        <f>'[4]Feb 2023'!Q30+'[5]March 2023'!P30</f>
        <v>0</v>
      </c>
      <c r="R30" s="139">
        <v>0</v>
      </c>
      <c r="S30" s="139">
        <f>'[4]Feb 2023'!S30+'[5]March 2023'!R30</f>
        <v>0</v>
      </c>
      <c r="T30" s="139">
        <f t="shared" si="2"/>
        <v>23.25</v>
      </c>
      <c r="U30" s="139">
        <f t="shared" si="3"/>
        <v>3923.9869999999992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f>'[4]Feb 2023'!H31</f>
        <v>4698.2870000000012</v>
      </c>
      <c r="D31" s="139">
        <v>4.2050000000000001</v>
      </c>
      <c r="E31" s="139">
        <f>'[4]Feb 2023'!E31+'[5]March 2023'!D31</f>
        <v>36.913000000000004</v>
      </c>
      <c r="F31" s="139">
        <v>0</v>
      </c>
      <c r="G31" s="139">
        <f>'[4]Feb 2023'!G31+'[5]March 2023'!F31</f>
        <v>0</v>
      </c>
      <c r="H31" s="139">
        <f t="shared" si="0"/>
        <v>4702.4920000000011</v>
      </c>
      <c r="I31" s="139">
        <f>'[4]Feb 2023'!N31</f>
        <v>107.69000000000003</v>
      </c>
      <c r="J31" s="139">
        <v>0</v>
      </c>
      <c r="K31" s="139">
        <f>'[4]Feb 2023'!K31+'[5]March 2023'!J31</f>
        <v>0.06</v>
      </c>
      <c r="L31" s="139">
        <v>0</v>
      </c>
      <c r="M31" s="139">
        <f>'[4]Feb 2023'!M31+'[5]March 2023'!L31</f>
        <v>0</v>
      </c>
      <c r="N31" s="139">
        <f t="shared" si="1"/>
        <v>107.69000000000003</v>
      </c>
      <c r="O31" s="139">
        <f>'[4]Feb 2023'!T31</f>
        <v>14.850000000000001</v>
      </c>
      <c r="P31" s="139">
        <v>0</v>
      </c>
      <c r="Q31" s="139">
        <f>'[4]Feb 2023'!Q31+'[5]March 2023'!P31</f>
        <v>0</v>
      </c>
      <c r="R31" s="139">
        <v>0</v>
      </c>
      <c r="S31" s="139">
        <f>'[4]Feb 2023'!S31+'[5]March 2023'!R31</f>
        <v>0</v>
      </c>
      <c r="T31" s="139">
        <f t="shared" si="2"/>
        <v>14.850000000000001</v>
      </c>
      <c r="U31" s="139">
        <f t="shared" si="3"/>
        <v>4825.0320000000011</v>
      </c>
    </row>
    <row r="32" spans="1:21" ht="38.25" customHeight="1" x14ac:dyDescent="0.35">
      <c r="A32" s="171">
        <v>20</v>
      </c>
      <c r="B32" s="172" t="s">
        <v>102</v>
      </c>
      <c r="C32" s="139">
        <f>'[4]Feb 2023'!H32</f>
        <v>2370.1757999999991</v>
      </c>
      <c r="D32" s="139">
        <v>3.85</v>
      </c>
      <c r="E32" s="139">
        <f>'[4]Feb 2023'!E32+'[5]March 2023'!D32</f>
        <v>31.170000000000005</v>
      </c>
      <c r="F32" s="139">
        <v>0</v>
      </c>
      <c r="G32" s="139">
        <f>'[4]Feb 2023'!G32+'[5]March 2023'!F32</f>
        <v>0</v>
      </c>
      <c r="H32" s="139">
        <f t="shared" si="0"/>
        <v>2374.025799999999</v>
      </c>
      <c r="I32" s="139">
        <f>'[4]Feb 2023'!N32</f>
        <v>89.88600000000001</v>
      </c>
      <c r="J32" s="139">
        <v>3.29</v>
      </c>
      <c r="K32" s="139">
        <f>'[4]Feb 2023'!K32+'[5]March 2023'!J32</f>
        <v>10.41</v>
      </c>
      <c r="L32" s="139">
        <v>0</v>
      </c>
      <c r="M32" s="139">
        <f>'[4]Feb 2023'!M32+'[5]March 2023'!L32</f>
        <v>0</v>
      </c>
      <c r="N32" s="139">
        <f t="shared" si="1"/>
        <v>93.176000000000016</v>
      </c>
      <c r="O32" s="139">
        <f>'[4]Feb 2023'!T32</f>
        <v>67.551999999999992</v>
      </c>
      <c r="P32" s="139">
        <v>0</v>
      </c>
      <c r="Q32" s="139">
        <f>'[4]Feb 2023'!Q32+'[5]March 2023'!P32</f>
        <v>0</v>
      </c>
      <c r="R32" s="139">
        <v>0</v>
      </c>
      <c r="S32" s="139">
        <f>'[4]Feb 2023'!S32+'[5]March 2023'!R32</f>
        <v>0</v>
      </c>
      <c r="T32" s="139">
        <f t="shared" si="2"/>
        <v>67.551999999999992</v>
      </c>
      <c r="U32" s="139">
        <f t="shared" si="3"/>
        <v>2534.753799999999</v>
      </c>
    </row>
    <row r="33" spans="1:21" s="111" customFormat="1" ht="38.25" customHeight="1" x14ac:dyDescent="0.4">
      <c r="A33" s="240" t="s">
        <v>99</v>
      </c>
      <c r="B33" s="240"/>
      <c r="C33" s="141">
        <f>SUM(C29:C32)</f>
        <v>15641.7508</v>
      </c>
      <c r="D33" s="141">
        <f t="shared" ref="D33:S33" si="10">SUM(D29:D32)</f>
        <v>17.954999999999998</v>
      </c>
      <c r="E33" s="141">
        <f t="shared" si="10"/>
        <v>385.46300000000002</v>
      </c>
      <c r="F33" s="141">
        <f t="shared" si="10"/>
        <v>0</v>
      </c>
      <c r="G33" s="141">
        <f t="shared" si="10"/>
        <v>0</v>
      </c>
      <c r="H33" s="141">
        <f t="shared" si="0"/>
        <v>15659.7058</v>
      </c>
      <c r="I33" s="141">
        <f t="shared" si="10"/>
        <v>517.69299999999998</v>
      </c>
      <c r="J33" s="141">
        <f t="shared" si="10"/>
        <v>3.29</v>
      </c>
      <c r="K33" s="141">
        <f t="shared" si="10"/>
        <v>100.61</v>
      </c>
      <c r="L33" s="141">
        <f t="shared" si="10"/>
        <v>0</v>
      </c>
      <c r="M33" s="141">
        <f t="shared" si="10"/>
        <v>0</v>
      </c>
      <c r="N33" s="141">
        <f t="shared" si="1"/>
        <v>520.98299999999995</v>
      </c>
      <c r="O33" s="141">
        <f t="shared" si="10"/>
        <v>140.172</v>
      </c>
      <c r="P33" s="141">
        <f t="shared" si="10"/>
        <v>0</v>
      </c>
      <c r="Q33" s="141">
        <f t="shared" si="10"/>
        <v>0</v>
      </c>
      <c r="R33" s="141">
        <f t="shared" si="10"/>
        <v>0</v>
      </c>
      <c r="S33" s="141">
        <f t="shared" si="10"/>
        <v>23.2</v>
      </c>
      <c r="T33" s="141">
        <f t="shared" si="2"/>
        <v>140.172</v>
      </c>
      <c r="U33" s="141">
        <f t="shared" si="3"/>
        <v>16320.8608</v>
      </c>
    </row>
    <row r="34" spans="1:21" ht="38.25" customHeight="1" x14ac:dyDescent="0.35">
      <c r="A34" s="171">
        <v>21</v>
      </c>
      <c r="B34" s="172" t="s">
        <v>103</v>
      </c>
      <c r="C34" s="139">
        <f>'[4]Feb 2023'!H34</f>
        <v>4583.58</v>
      </c>
      <c r="D34" s="139">
        <v>3.17</v>
      </c>
      <c r="E34" s="139">
        <f>'[4]Feb 2023'!E34+'[5]March 2023'!D34</f>
        <v>157.53999999999996</v>
      </c>
      <c r="F34" s="139">
        <v>0</v>
      </c>
      <c r="G34" s="139">
        <f>'[4]Feb 2023'!G34+'[5]March 2023'!F34</f>
        <v>9.89</v>
      </c>
      <c r="H34" s="139">
        <f t="shared" si="0"/>
        <v>4586.75</v>
      </c>
      <c r="I34" s="139">
        <f>'[4]Feb 2023'!N34</f>
        <v>108.07999999999998</v>
      </c>
      <c r="J34" s="139">
        <v>0</v>
      </c>
      <c r="K34" s="139">
        <f>'[4]Feb 2023'!K34+'[5]March 2023'!J34</f>
        <v>108.07999999999998</v>
      </c>
      <c r="L34" s="139">
        <v>0</v>
      </c>
      <c r="M34" s="139">
        <f>'[4]Feb 2023'!M34+'[5]March 2023'!L34</f>
        <v>0</v>
      </c>
      <c r="N34" s="139">
        <f t="shared" si="1"/>
        <v>108.07999999999998</v>
      </c>
      <c r="O34" s="139">
        <f>'[4]Feb 2023'!T34</f>
        <v>72.7</v>
      </c>
      <c r="P34" s="139">
        <v>0</v>
      </c>
      <c r="Q34" s="139">
        <f>'[4]Feb 2023'!Q34+'[5]March 2023'!P34</f>
        <v>72.7</v>
      </c>
      <c r="R34" s="139">
        <v>0</v>
      </c>
      <c r="S34" s="139">
        <f>'[4]Feb 2023'!S34+'[5]March 2023'!R34</f>
        <v>0</v>
      </c>
      <c r="T34" s="139">
        <f t="shared" si="2"/>
        <v>72.7</v>
      </c>
      <c r="U34" s="139">
        <f t="shared" si="3"/>
        <v>4767.53</v>
      </c>
    </row>
    <row r="35" spans="1:21" ht="38.25" customHeight="1" x14ac:dyDescent="0.35">
      <c r="A35" s="171">
        <v>22</v>
      </c>
      <c r="B35" s="172" t="s">
        <v>104</v>
      </c>
      <c r="C35" s="139">
        <f>'[4]Feb 2023'!H35</f>
        <v>6642.199999999998</v>
      </c>
      <c r="D35" s="139">
        <f>28.03+13.39</f>
        <v>41.42</v>
      </c>
      <c r="E35" s="139">
        <f>'[4]Feb 2023'!E35+'[5]March 2023'!D35</f>
        <v>474.04</v>
      </c>
      <c r="F35" s="139">
        <v>0</v>
      </c>
      <c r="G35" s="139">
        <f>'[4]Feb 2023'!G35+'[5]March 2023'!F35</f>
        <v>0</v>
      </c>
      <c r="H35" s="139">
        <f t="shared" si="0"/>
        <v>6683.6199999999981</v>
      </c>
      <c r="I35" s="139">
        <f>'[4]Feb 2023'!N35</f>
        <v>34.130000000000003</v>
      </c>
      <c r="J35" s="139">
        <v>0</v>
      </c>
      <c r="K35" s="139">
        <f>'[4]Feb 2023'!K35+'[5]March 2023'!J35</f>
        <v>27.21</v>
      </c>
      <c r="L35" s="139">
        <v>0</v>
      </c>
      <c r="M35" s="139">
        <f>'[4]Feb 2023'!M35+'[5]March 2023'!L35</f>
        <v>0</v>
      </c>
      <c r="N35" s="139">
        <f t="shared" si="1"/>
        <v>34.130000000000003</v>
      </c>
      <c r="O35" s="139">
        <f>'[4]Feb 2023'!T35</f>
        <v>90.800000000000011</v>
      </c>
      <c r="P35" s="139">
        <v>0</v>
      </c>
      <c r="Q35" s="139">
        <f>'[4]Feb 2023'!Q35+'[5]March 2023'!P35</f>
        <v>32.380000000000003</v>
      </c>
      <c r="R35" s="139">
        <v>0</v>
      </c>
      <c r="S35" s="139">
        <f>'[4]Feb 2023'!S35+'[5]March 2023'!R35</f>
        <v>0</v>
      </c>
      <c r="T35" s="139">
        <f t="shared" si="2"/>
        <v>90.800000000000011</v>
      </c>
      <c r="U35" s="139">
        <f t="shared" si="3"/>
        <v>6808.5499999999984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f>'[4]Feb 2023'!H36</f>
        <v>3672.42</v>
      </c>
      <c r="D36" s="139">
        <v>25.24</v>
      </c>
      <c r="E36" s="139">
        <f>'[4]Feb 2023'!E36+'[5]March 2023'!D36</f>
        <v>246.56</v>
      </c>
      <c r="F36" s="139">
        <v>0</v>
      </c>
      <c r="G36" s="139">
        <f>'[4]Feb 2023'!G36+'[5]March 2023'!F36</f>
        <v>0</v>
      </c>
      <c r="H36" s="139">
        <f t="shared" si="0"/>
        <v>3697.66</v>
      </c>
      <c r="I36" s="139">
        <f>'[4]Feb 2023'!N36</f>
        <v>30.250000000000039</v>
      </c>
      <c r="J36" s="139">
        <v>0</v>
      </c>
      <c r="K36" s="139">
        <f>'[4]Feb 2023'!K36+'[5]March 2023'!J36</f>
        <v>5.2</v>
      </c>
      <c r="L36" s="139">
        <v>0</v>
      </c>
      <c r="M36" s="139">
        <f>'[4]Feb 2023'!M36+'[5]March 2023'!L36</f>
        <v>4.63</v>
      </c>
      <c r="N36" s="139">
        <f t="shared" si="1"/>
        <v>30.250000000000039</v>
      </c>
      <c r="O36" s="139">
        <f>'[4]Feb 2023'!T36</f>
        <v>36.379999999999995</v>
      </c>
      <c r="P36" s="139">
        <v>0</v>
      </c>
      <c r="Q36" s="139">
        <f>'[4]Feb 2023'!Q36+'[5]March 2023'!P36</f>
        <v>19.29</v>
      </c>
      <c r="R36" s="139">
        <v>0</v>
      </c>
      <c r="S36" s="139">
        <f>'[4]Feb 2023'!S36+'[5]March 2023'!R36</f>
        <v>0</v>
      </c>
      <c r="T36" s="139">
        <f t="shared" si="2"/>
        <v>36.379999999999995</v>
      </c>
      <c r="U36" s="139">
        <f t="shared" si="3"/>
        <v>3764.29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f>'[4]Feb 2023'!H37</f>
        <v>5081.2499999999982</v>
      </c>
      <c r="D37" s="139">
        <f>1.76+11.5</f>
        <v>13.26</v>
      </c>
      <c r="E37" s="139">
        <f>'[4]Feb 2023'!E37+'[5]March 2023'!D37</f>
        <v>306.39000000000004</v>
      </c>
      <c r="F37" s="139">
        <v>0</v>
      </c>
      <c r="G37" s="139">
        <f>'[4]Feb 2023'!G37+'[5]March 2023'!F37</f>
        <v>0</v>
      </c>
      <c r="H37" s="139">
        <f t="shared" si="0"/>
        <v>5094.5099999999984</v>
      </c>
      <c r="I37" s="139">
        <f>'[4]Feb 2023'!N37</f>
        <v>26.700000000000003</v>
      </c>
      <c r="J37" s="139">
        <v>0</v>
      </c>
      <c r="K37" s="139">
        <f>'[4]Feb 2023'!K37+'[5]March 2023'!J37</f>
        <v>14.27</v>
      </c>
      <c r="L37" s="139">
        <v>0</v>
      </c>
      <c r="M37" s="139">
        <f>'[4]Feb 2023'!M37+'[5]March 2023'!L37</f>
        <v>1.06</v>
      </c>
      <c r="N37" s="139">
        <f t="shared" si="1"/>
        <v>26.700000000000003</v>
      </c>
      <c r="O37" s="139">
        <f>'[4]Feb 2023'!T37</f>
        <v>3.0599999999999996</v>
      </c>
      <c r="P37" s="139">
        <v>0</v>
      </c>
      <c r="Q37" s="139">
        <f>'[4]Feb 2023'!Q37+'[5]March 2023'!P37</f>
        <v>0</v>
      </c>
      <c r="R37" s="139">
        <v>0</v>
      </c>
      <c r="S37" s="139">
        <f>'[4]Feb 2023'!S37+'[5]March 2023'!R37</f>
        <v>3.46</v>
      </c>
      <c r="T37" s="139">
        <f t="shared" si="2"/>
        <v>3.0599999999999996</v>
      </c>
      <c r="U37" s="139">
        <f t="shared" si="3"/>
        <v>5124.2699999999986</v>
      </c>
    </row>
    <row r="38" spans="1:21" s="111" customFormat="1" ht="38.25" customHeight="1" x14ac:dyDescent="0.4">
      <c r="A38" s="240" t="s">
        <v>107</v>
      </c>
      <c r="B38" s="240"/>
      <c r="C38" s="141">
        <f>SUM(C34:C37)</f>
        <v>19979.449999999997</v>
      </c>
      <c r="D38" s="141">
        <f t="shared" ref="D38:S38" si="11">SUM(D34:D37)</f>
        <v>83.09</v>
      </c>
      <c r="E38" s="141">
        <f t="shared" si="11"/>
        <v>1184.53</v>
      </c>
      <c r="F38" s="141">
        <f t="shared" si="11"/>
        <v>0</v>
      </c>
      <c r="G38" s="141">
        <f t="shared" si="11"/>
        <v>9.89</v>
      </c>
      <c r="H38" s="141">
        <f t="shared" si="0"/>
        <v>20062.539999999997</v>
      </c>
      <c r="I38" s="141">
        <f t="shared" si="11"/>
        <v>199.16000000000003</v>
      </c>
      <c r="J38" s="141">
        <f t="shared" si="11"/>
        <v>0</v>
      </c>
      <c r="K38" s="141">
        <f t="shared" si="11"/>
        <v>154.76</v>
      </c>
      <c r="L38" s="141">
        <f t="shared" si="11"/>
        <v>0</v>
      </c>
      <c r="M38" s="141">
        <f t="shared" si="11"/>
        <v>5.6899999999999995</v>
      </c>
      <c r="N38" s="141">
        <f t="shared" si="1"/>
        <v>199.16000000000003</v>
      </c>
      <c r="O38" s="141">
        <f t="shared" si="11"/>
        <v>202.94</v>
      </c>
      <c r="P38" s="141">
        <f t="shared" si="11"/>
        <v>0</v>
      </c>
      <c r="Q38" s="141">
        <f t="shared" si="11"/>
        <v>124.37</v>
      </c>
      <c r="R38" s="141">
        <f t="shared" si="11"/>
        <v>0</v>
      </c>
      <c r="S38" s="141">
        <f t="shared" si="11"/>
        <v>3.46</v>
      </c>
      <c r="T38" s="141">
        <f t="shared" si="2"/>
        <v>202.94</v>
      </c>
      <c r="U38" s="141">
        <f t="shared" si="3"/>
        <v>20464.639999999996</v>
      </c>
    </row>
    <row r="39" spans="1:21" s="145" customFormat="1" ht="38.25" customHeight="1" x14ac:dyDescent="0.4">
      <c r="A39" s="243" t="s">
        <v>108</v>
      </c>
      <c r="B39" s="243"/>
      <c r="C39" s="141">
        <f>C38+C33+C28</f>
        <v>42905.105800000005</v>
      </c>
      <c r="D39" s="141">
        <f t="shared" ref="D39:S39" si="12">D38+D33+D28</f>
        <v>130.80500000000001</v>
      </c>
      <c r="E39" s="141">
        <f t="shared" si="12"/>
        <v>1753.973</v>
      </c>
      <c r="F39" s="141">
        <f t="shared" si="12"/>
        <v>0</v>
      </c>
      <c r="G39" s="141">
        <f t="shared" si="12"/>
        <v>9.89</v>
      </c>
      <c r="H39" s="141">
        <f t="shared" si="0"/>
        <v>43035.910800000005</v>
      </c>
      <c r="I39" s="141">
        <f t="shared" si="12"/>
        <v>1458.681</v>
      </c>
      <c r="J39" s="141">
        <f t="shared" si="12"/>
        <v>17.189999999999998</v>
      </c>
      <c r="K39" s="141">
        <f t="shared" si="12"/>
        <v>349.58000000000004</v>
      </c>
      <c r="L39" s="141">
        <f t="shared" si="12"/>
        <v>0</v>
      </c>
      <c r="M39" s="141">
        <f t="shared" si="12"/>
        <v>5.6899999999999995</v>
      </c>
      <c r="N39" s="141">
        <f t="shared" si="1"/>
        <v>1475.8710000000001</v>
      </c>
      <c r="O39" s="141">
        <f t="shared" si="12"/>
        <v>393.24199999999996</v>
      </c>
      <c r="P39" s="141">
        <f t="shared" si="12"/>
        <v>0.04</v>
      </c>
      <c r="Q39" s="141">
        <f t="shared" si="12"/>
        <v>124.94</v>
      </c>
      <c r="R39" s="141">
        <f t="shared" si="12"/>
        <v>0</v>
      </c>
      <c r="S39" s="141">
        <f t="shared" si="12"/>
        <v>26.66</v>
      </c>
      <c r="T39" s="141">
        <f t="shared" si="2"/>
        <v>393.28199999999998</v>
      </c>
      <c r="U39" s="141">
        <f t="shared" si="3"/>
        <v>44905.063800000004</v>
      </c>
    </row>
    <row r="40" spans="1:21" ht="38.25" customHeight="1" x14ac:dyDescent="0.35">
      <c r="A40" s="171">
        <v>25</v>
      </c>
      <c r="B40" s="172" t="s">
        <v>109</v>
      </c>
      <c r="C40" s="139">
        <f>'[4]Feb 2023'!H40</f>
        <v>11829.713999999998</v>
      </c>
      <c r="D40" s="139">
        <v>27.91</v>
      </c>
      <c r="E40" s="139">
        <f>'[4]Feb 2023'!E40+'[5]March 2023'!D40</f>
        <v>467.18</v>
      </c>
      <c r="F40" s="139">
        <v>0</v>
      </c>
      <c r="G40" s="139">
        <f>'[4]Feb 2023'!G40+'[5]March 2023'!F40</f>
        <v>0</v>
      </c>
      <c r="H40" s="139">
        <f t="shared" si="0"/>
        <v>11857.623999999998</v>
      </c>
      <c r="I40" s="139">
        <f>'[4]Feb 2023'!N40</f>
        <v>198.73</v>
      </c>
      <c r="J40" s="139">
        <v>0</v>
      </c>
      <c r="K40" s="139">
        <f>'[4]Feb 2023'!K40+'[5]March 2023'!J40</f>
        <v>0</v>
      </c>
      <c r="L40" s="139">
        <v>0</v>
      </c>
      <c r="M40" s="139">
        <f>'[4]Feb 2023'!M40+'[5]March 2023'!L40</f>
        <v>0</v>
      </c>
      <c r="N40" s="139">
        <f t="shared" si="1"/>
        <v>198.73</v>
      </c>
      <c r="O40" s="139">
        <f>'[4]Feb 2023'!T40</f>
        <v>106.93</v>
      </c>
      <c r="P40" s="139">
        <v>0</v>
      </c>
      <c r="Q40" s="139">
        <f>'[4]Feb 2023'!Q40+'[5]March 2023'!P40</f>
        <v>106.93</v>
      </c>
      <c r="R40" s="139">
        <v>0</v>
      </c>
      <c r="S40" s="139">
        <f>'[4]Feb 2023'!S40+'[5]March 2023'!R40</f>
        <v>0</v>
      </c>
      <c r="T40" s="139">
        <f t="shared" si="2"/>
        <v>106.93</v>
      </c>
      <c r="U40" s="139">
        <f t="shared" si="3"/>
        <v>12163.283999999998</v>
      </c>
    </row>
    <row r="41" spans="1:21" ht="38.25" customHeight="1" x14ac:dyDescent="0.35">
      <c r="A41" s="171">
        <v>26</v>
      </c>
      <c r="B41" s="172" t="s">
        <v>110</v>
      </c>
      <c r="C41" s="139">
        <f>'[4]Feb 2023'!H41</f>
        <v>8392.1389999999938</v>
      </c>
      <c r="D41" s="139">
        <f>6.88+48.38</f>
        <v>55.260000000000005</v>
      </c>
      <c r="E41" s="139">
        <f>'[4]Feb 2023'!E41+'[5]March 2023'!D41</f>
        <v>949.36200000000008</v>
      </c>
      <c r="F41" s="139">
        <v>0</v>
      </c>
      <c r="G41" s="139">
        <f>'[4]Feb 2023'!G41+'[5]March 2023'!F41</f>
        <v>0</v>
      </c>
      <c r="H41" s="139">
        <f t="shared" si="0"/>
        <v>8447.398999999994</v>
      </c>
      <c r="I41" s="139">
        <f>'[4]Feb 2023'!N41</f>
        <v>8.67</v>
      </c>
      <c r="J41" s="139">
        <v>0</v>
      </c>
      <c r="K41" s="139">
        <f>'[4]Feb 2023'!K41+'[5]March 2023'!J41</f>
        <v>0</v>
      </c>
      <c r="L41" s="139">
        <v>0</v>
      </c>
      <c r="M41" s="139">
        <f>'[4]Feb 2023'!M41+'[5]March 2023'!L41</f>
        <v>0</v>
      </c>
      <c r="N41" s="139">
        <f t="shared" si="1"/>
        <v>8.67</v>
      </c>
      <c r="O41" s="139">
        <f>'[4]Feb 2023'!T41</f>
        <v>141.29000000000002</v>
      </c>
      <c r="P41" s="139">
        <v>0</v>
      </c>
      <c r="Q41" s="139">
        <f>'[4]Feb 2023'!Q41+'[5]March 2023'!P41</f>
        <v>141.29000000000002</v>
      </c>
      <c r="R41" s="139">
        <v>0</v>
      </c>
      <c r="S41" s="139">
        <f>'[4]Feb 2023'!S41+'[5]March 2023'!R41</f>
        <v>0</v>
      </c>
      <c r="T41" s="139">
        <f t="shared" si="2"/>
        <v>141.29000000000002</v>
      </c>
      <c r="U41" s="139">
        <f t="shared" si="3"/>
        <v>8597.3589999999949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f>'[4]Feb 2023'!H42</f>
        <v>13911.432999999995</v>
      </c>
      <c r="D42" s="139">
        <v>42.24</v>
      </c>
      <c r="E42" s="139">
        <f>'[4]Feb 2023'!E42+'[5]March 2023'!D42</f>
        <v>148.23400000000001</v>
      </c>
      <c r="F42" s="139">
        <v>0</v>
      </c>
      <c r="G42" s="139">
        <f>'[4]Feb 2023'!G42+'[5]March 2023'!F42</f>
        <v>0</v>
      </c>
      <c r="H42" s="139">
        <f t="shared" si="0"/>
        <v>13953.672999999995</v>
      </c>
      <c r="I42" s="139">
        <f>'[4]Feb 2023'!N42</f>
        <v>15.62</v>
      </c>
      <c r="J42" s="139">
        <v>0</v>
      </c>
      <c r="K42" s="139">
        <f>'[4]Feb 2023'!K42+'[5]March 2023'!J42</f>
        <v>0</v>
      </c>
      <c r="L42" s="139">
        <v>0</v>
      </c>
      <c r="M42" s="139">
        <f>'[4]Feb 2023'!M42+'[5]March 2023'!L42</f>
        <v>0</v>
      </c>
      <c r="N42" s="139">
        <f t="shared" si="1"/>
        <v>15.62</v>
      </c>
      <c r="O42" s="139">
        <f>'[4]Feb 2023'!T42</f>
        <v>205.35</v>
      </c>
      <c r="P42" s="139">
        <v>0</v>
      </c>
      <c r="Q42" s="139">
        <f>'[4]Feb 2023'!Q42+'[5]March 2023'!P42</f>
        <v>166.33</v>
      </c>
      <c r="R42" s="139">
        <v>0</v>
      </c>
      <c r="S42" s="139">
        <f>'[4]Feb 2023'!S42+'[5]March 2023'!R42</f>
        <v>0</v>
      </c>
      <c r="T42" s="139">
        <f t="shared" si="2"/>
        <v>205.35</v>
      </c>
      <c r="U42" s="139">
        <f t="shared" si="3"/>
        <v>14174.642999999996</v>
      </c>
    </row>
    <row r="43" spans="1:21" ht="38.25" customHeight="1" x14ac:dyDescent="0.35">
      <c r="A43" s="171">
        <v>28</v>
      </c>
      <c r="B43" s="172" t="s">
        <v>112</v>
      </c>
      <c r="C43" s="139">
        <f>'[4]Feb 2023'!H43</f>
        <v>4130.0600000000013</v>
      </c>
      <c r="D43" s="139">
        <f>28.45+43.45</f>
        <v>71.900000000000006</v>
      </c>
      <c r="E43" s="139">
        <f>'[4]Feb 2023'!E43+'[5]March 2023'!D43</f>
        <v>234.48000000000002</v>
      </c>
      <c r="F43" s="139">
        <v>0</v>
      </c>
      <c r="G43" s="139">
        <f>'[4]Feb 2023'!G43+'[5]March 2023'!F43</f>
        <v>0</v>
      </c>
      <c r="H43" s="139">
        <f t="shared" si="0"/>
        <v>4201.9600000000009</v>
      </c>
      <c r="I43" s="139">
        <f>'[4]Feb 2023'!N43</f>
        <v>3.5</v>
      </c>
      <c r="J43" s="139">
        <v>0</v>
      </c>
      <c r="K43" s="139">
        <f>'[4]Feb 2023'!K43+'[5]March 2023'!J43</f>
        <v>0</v>
      </c>
      <c r="L43" s="139">
        <v>0</v>
      </c>
      <c r="M43" s="139">
        <f>'[4]Feb 2023'!M43+'[5]March 2023'!L43</f>
        <v>0</v>
      </c>
      <c r="N43" s="139">
        <f t="shared" si="1"/>
        <v>3.5</v>
      </c>
      <c r="O43" s="139">
        <f>'[4]Feb 2023'!T43</f>
        <v>29.8</v>
      </c>
      <c r="P43" s="139">
        <v>0</v>
      </c>
      <c r="Q43" s="139">
        <f>'[4]Feb 2023'!Q43+'[5]March 2023'!P43</f>
        <v>29.8</v>
      </c>
      <c r="R43" s="139">
        <v>0</v>
      </c>
      <c r="S43" s="139">
        <f>'[4]Feb 2023'!S43+'[5]March 2023'!R43</f>
        <v>0</v>
      </c>
      <c r="T43" s="139">
        <f t="shared" si="2"/>
        <v>29.8</v>
      </c>
      <c r="U43" s="139">
        <f t="shared" si="3"/>
        <v>4235.2600000000011</v>
      </c>
    </row>
    <row r="44" spans="1:21" s="111" customFormat="1" ht="38.25" customHeight="1" x14ac:dyDescent="0.4">
      <c r="A44" s="240" t="s">
        <v>109</v>
      </c>
      <c r="B44" s="240"/>
      <c r="C44" s="141">
        <f>SUM(C40:C43)</f>
        <v>38263.34599999999</v>
      </c>
      <c r="D44" s="141">
        <f t="shared" ref="D44:S44" si="13">SUM(D40:D43)</f>
        <v>197.31</v>
      </c>
      <c r="E44" s="141">
        <f t="shared" si="13"/>
        <v>1799.2560000000001</v>
      </c>
      <c r="F44" s="141">
        <f t="shared" si="13"/>
        <v>0</v>
      </c>
      <c r="G44" s="141">
        <f t="shared" si="13"/>
        <v>0</v>
      </c>
      <c r="H44" s="141">
        <f t="shared" si="0"/>
        <v>38460.655999999988</v>
      </c>
      <c r="I44" s="141">
        <f t="shared" si="13"/>
        <v>226.51999999999998</v>
      </c>
      <c r="J44" s="141">
        <f t="shared" si="13"/>
        <v>0</v>
      </c>
      <c r="K44" s="141">
        <f t="shared" si="13"/>
        <v>0</v>
      </c>
      <c r="L44" s="141">
        <f t="shared" si="13"/>
        <v>0</v>
      </c>
      <c r="M44" s="141">
        <f t="shared" si="13"/>
        <v>0</v>
      </c>
      <c r="N44" s="141">
        <f t="shared" si="1"/>
        <v>226.51999999999998</v>
      </c>
      <c r="O44" s="141">
        <f t="shared" si="13"/>
        <v>483.37000000000006</v>
      </c>
      <c r="P44" s="141">
        <f t="shared" si="13"/>
        <v>0</v>
      </c>
      <c r="Q44" s="141">
        <f t="shared" si="13"/>
        <v>444.35000000000008</v>
      </c>
      <c r="R44" s="141">
        <f t="shared" si="13"/>
        <v>0</v>
      </c>
      <c r="S44" s="141">
        <f t="shared" si="13"/>
        <v>0</v>
      </c>
      <c r="T44" s="141">
        <f t="shared" si="2"/>
        <v>483.37000000000006</v>
      </c>
      <c r="U44" s="141">
        <f t="shared" si="3"/>
        <v>39170.545999999988</v>
      </c>
    </row>
    <row r="45" spans="1:21" ht="38.25" customHeight="1" x14ac:dyDescent="0.35">
      <c r="A45" s="171">
        <v>29</v>
      </c>
      <c r="B45" s="172" t="s">
        <v>113</v>
      </c>
      <c r="C45" s="139">
        <f>'[4]Feb 2023'!H45</f>
        <v>8340.6720999999998</v>
      </c>
      <c r="D45" s="139">
        <v>23.14</v>
      </c>
      <c r="E45" s="139">
        <f>'[4]Feb 2023'!E45+'[5]March 2023'!D45</f>
        <v>311.83</v>
      </c>
      <c r="F45" s="139">
        <v>0</v>
      </c>
      <c r="G45" s="139">
        <f>'[4]Feb 2023'!G45+'[5]March 2023'!F45</f>
        <v>0</v>
      </c>
      <c r="H45" s="139">
        <f t="shared" si="0"/>
        <v>8363.8120999999992</v>
      </c>
      <c r="I45" s="139">
        <f>'[4]Feb 2023'!N45</f>
        <v>261.04999999999995</v>
      </c>
      <c r="J45" s="139">
        <v>0</v>
      </c>
      <c r="K45" s="139">
        <f>'[4]Feb 2023'!K45+'[5]March 2023'!J45</f>
        <v>219.13</v>
      </c>
      <c r="L45" s="139">
        <v>0</v>
      </c>
      <c r="M45" s="139">
        <f>'[4]Feb 2023'!M45+'[5]March 2023'!L45</f>
        <v>0</v>
      </c>
      <c r="N45" s="139">
        <f t="shared" si="1"/>
        <v>261.04999999999995</v>
      </c>
      <c r="O45" s="139">
        <f>'[4]Feb 2023'!T45</f>
        <v>84.39</v>
      </c>
      <c r="P45" s="139">
        <v>0</v>
      </c>
      <c r="Q45" s="139">
        <f>'[4]Feb 2023'!Q45+'[5]March 2023'!P45</f>
        <v>69.64</v>
      </c>
      <c r="R45" s="139">
        <v>0</v>
      </c>
      <c r="S45" s="139">
        <f>'[4]Feb 2023'!S45+'[5]March 2023'!R45</f>
        <v>0</v>
      </c>
      <c r="T45" s="139">
        <f t="shared" si="2"/>
        <v>84.39</v>
      </c>
      <c r="U45" s="139">
        <f t="shared" si="3"/>
        <v>8709.2520999999979</v>
      </c>
    </row>
    <row r="46" spans="1:21" ht="38.25" customHeight="1" x14ac:dyDescent="0.35">
      <c r="A46" s="171">
        <v>30</v>
      </c>
      <c r="B46" s="172" t="s">
        <v>114</v>
      </c>
      <c r="C46" s="139">
        <f>'[4]Feb 2023'!H46</f>
        <v>7912.5450000000019</v>
      </c>
      <c r="D46" s="139">
        <v>34.69</v>
      </c>
      <c r="E46" s="139">
        <f>'[4]Feb 2023'!E46+'[5]March 2023'!D46</f>
        <v>208.74</v>
      </c>
      <c r="F46" s="139">
        <v>0</v>
      </c>
      <c r="G46" s="139">
        <f>'[4]Feb 2023'!G46+'[5]March 2023'!F46</f>
        <v>0</v>
      </c>
      <c r="H46" s="139">
        <f t="shared" si="0"/>
        <v>7947.2350000000015</v>
      </c>
      <c r="I46" s="139">
        <f>'[4]Feb 2023'!N46</f>
        <v>0</v>
      </c>
      <c r="J46" s="139">
        <v>0</v>
      </c>
      <c r="K46" s="139">
        <f>'[4]Feb 2023'!K46+'[5]March 2023'!J46</f>
        <v>0</v>
      </c>
      <c r="L46" s="139">
        <v>0</v>
      </c>
      <c r="M46" s="139">
        <f>'[4]Feb 2023'!M46+'[5]March 2023'!L46</f>
        <v>0</v>
      </c>
      <c r="N46" s="139">
        <f t="shared" si="1"/>
        <v>0</v>
      </c>
      <c r="O46" s="139">
        <f>'[4]Feb 2023'!T46</f>
        <v>47.03</v>
      </c>
      <c r="P46" s="139">
        <v>0</v>
      </c>
      <c r="Q46" s="139">
        <f>'[4]Feb 2023'!Q46+'[5]March 2023'!P46</f>
        <v>47.03</v>
      </c>
      <c r="R46" s="139">
        <v>0</v>
      </c>
      <c r="S46" s="139">
        <f>'[4]Feb 2023'!S46+'[5]March 2023'!R46</f>
        <v>0</v>
      </c>
      <c r="T46" s="139">
        <f t="shared" si="2"/>
        <v>47.03</v>
      </c>
      <c r="U46" s="139">
        <f t="shared" si="3"/>
        <v>7994.2650000000012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f>'[4]Feb 2023'!H47</f>
        <v>9033.0499999999975</v>
      </c>
      <c r="D47" s="139">
        <v>44.65</v>
      </c>
      <c r="E47" s="139">
        <f>'[4]Feb 2023'!E47+'[5]March 2023'!D47</f>
        <v>293.06</v>
      </c>
      <c r="F47" s="139">
        <v>0</v>
      </c>
      <c r="G47" s="139">
        <f>'[4]Feb 2023'!G47+'[5]March 2023'!F47</f>
        <v>0</v>
      </c>
      <c r="H47" s="139">
        <f t="shared" si="0"/>
        <v>9077.6999999999971</v>
      </c>
      <c r="I47" s="139">
        <f>'[4]Feb 2023'!N47</f>
        <v>3.13</v>
      </c>
      <c r="J47" s="139">
        <v>0</v>
      </c>
      <c r="K47" s="139">
        <f>'[4]Feb 2023'!K47+'[5]March 2023'!J47</f>
        <v>0</v>
      </c>
      <c r="L47" s="139">
        <v>0</v>
      </c>
      <c r="M47" s="139">
        <f>'[4]Feb 2023'!M47+'[5]March 2023'!L47</f>
        <v>0</v>
      </c>
      <c r="N47" s="139">
        <f t="shared" si="1"/>
        <v>3.13</v>
      </c>
      <c r="O47" s="139">
        <f>'[4]Feb 2023'!T47</f>
        <v>118.94999999999999</v>
      </c>
      <c r="P47" s="139">
        <v>0</v>
      </c>
      <c r="Q47" s="139">
        <f>'[4]Feb 2023'!Q47+'[5]March 2023'!P47</f>
        <v>118.91999999999999</v>
      </c>
      <c r="R47" s="139">
        <v>0</v>
      </c>
      <c r="S47" s="139">
        <f>'[4]Feb 2023'!S47+'[5]March 2023'!R47</f>
        <v>0</v>
      </c>
      <c r="T47" s="139">
        <f t="shared" si="2"/>
        <v>118.94999999999999</v>
      </c>
      <c r="U47" s="139">
        <f t="shared" si="3"/>
        <v>9199.779999999997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f>'[4]Feb 2023'!H48</f>
        <v>8597.3989999999976</v>
      </c>
      <c r="D48" s="139">
        <v>8.5500000000000007</v>
      </c>
      <c r="E48" s="139">
        <f>'[4]Feb 2023'!E48+'[5]March 2023'!D48</f>
        <v>409.15999999999997</v>
      </c>
      <c r="F48" s="139">
        <v>0</v>
      </c>
      <c r="G48" s="139">
        <f>'[4]Feb 2023'!G48+'[5]March 2023'!F48</f>
        <v>0</v>
      </c>
      <c r="H48" s="139">
        <f t="shared" si="0"/>
        <v>8605.9489999999969</v>
      </c>
      <c r="I48" s="139">
        <f>'[4]Feb 2023'!N48</f>
        <v>5.0249999999999995</v>
      </c>
      <c r="J48" s="139">
        <v>0</v>
      </c>
      <c r="K48" s="139">
        <f>'[4]Feb 2023'!K48+'[5]March 2023'!J48</f>
        <v>0</v>
      </c>
      <c r="L48" s="139">
        <v>0</v>
      </c>
      <c r="M48" s="139">
        <f>'[4]Feb 2023'!M48+'[5]March 2023'!L48</f>
        <v>0</v>
      </c>
      <c r="N48" s="139">
        <f t="shared" si="1"/>
        <v>5.0249999999999995</v>
      </c>
      <c r="O48" s="139">
        <f>'[4]Feb 2023'!T48</f>
        <v>4.21</v>
      </c>
      <c r="P48" s="139">
        <v>0</v>
      </c>
      <c r="Q48" s="139">
        <f>'[4]Feb 2023'!Q48+'[5]March 2023'!P48</f>
        <v>4.21</v>
      </c>
      <c r="R48" s="139">
        <v>0</v>
      </c>
      <c r="S48" s="139">
        <f>'[4]Feb 2023'!S48+'[5]March 2023'!R48</f>
        <v>0</v>
      </c>
      <c r="T48" s="139">
        <f t="shared" si="2"/>
        <v>4.21</v>
      </c>
      <c r="U48" s="139">
        <f t="shared" si="3"/>
        <v>8615.1839999999956</v>
      </c>
    </row>
    <row r="49" spans="1:21" s="111" customFormat="1" ht="38.25" customHeight="1" x14ac:dyDescent="0.4">
      <c r="A49" s="240" t="s">
        <v>117</v>
      </c>
      <c r="B49" s="240"/>
      <c r="C49" s="141">
        <f>SUM(C45:C48)</f>
        <v>33883.666099999995</v>
      </c>
      <c r="D49" s="141">
        <f t="shared" ref="D49:S49" si="14">SUM(D45:D48)</f>
        <v>111.02999999999999</v>
      </c>
      <c r="E49" s="141">
        <f t="shared" si="14"/>
        <v>1222.79</v>
      </c>
      <c r="F49" s="141">
        <f t="shared" si="14"/>
        <v>0</v>
      </c>
      <c r="G49" s="141">
        <f t="shared" si="14"/>
        <v>0</v>
      </c>
      <c r="H49" s="141">
        <f t="shared" si="0"/>
        <v>33994.696099999994</v>
      </c>
      <c r="I49" s="141">
        <f t="shared" si="14"/>
        <v>269.20499999999993</v>
      </c>
      <c r="J49" s="141">
        <f t="shared" si="14"/>
        <v>0</v>
      </c>
      <c r="K49" s="141">
        <f t="shared" si="14"/>
        <v>219.13</v>
      </c>
      <c r="L49" s="141">
        <f t="shared" si="14"/>
        <v>0</v>
      </c>
      <c r="M49" s="141">
        <f t="shared" si="14"/>
        <v>0</v>
      </c>
      <c r="N49" s="141">
        <f t="shared" si="1"/>
        <v>269.20499999999993</v>
      </c>
      <c r="O49" s="141">
        <f t="shared" si="14"/>
        <v>254.58</v>
      </c>
      <c r="P49" s="141">
        <f t="shared" si="14"/>
        <v>0</v>
      </c>
      <c r="Q49" s="141">
        <f t="shared" si="14"/>
        <v>239.79999999999998</v>
      </c>
      <c r="R49" s="141">
        <f t="shared" si="14"/>
        <v>0</v>
      </c>
      <c r="S49" s="141">
        <f t="shared" si="14"/>
        <v>0</v>
      </c>
      <c r="T49" s="141">
        <f t="shared" si="2"/>
        <v>254.58</v>
      </c>
      <c r="U49" s="141">
        <f t="shared" si="3"/>
        <v>34518.481099999997</v>
      </c>
    </row>
    <row r="50" spans="1:21" s="145" customFormat="1" ht="38.25" customHeight="1" x14ac:dyDescent="0.4">
      <c r="A50" s="243" t="s">
        <v>118</v>
      </c>
      <c r="B50" s="243"/>
      <c r="C50" s="141">
        <f>C49+C44</f>
        <v>72147.012099999993</v>
      </c>
      <c r="D50" s="141">
        <f t="shared" ref="D50:S50" si="15">D49+D44</f>
        <v>308.33999999999997</v>
      </c>
      <c r="E50" s="141">
        <f t="shared" si="15"/>
        <v>3022.0460000000003</v>
      </c>
      <c r="F50" s="141">
        <f t="shared" si="15"/>
        <v>0</v>
      </c>
      <c r="G50" s="141">
        <f t="shared" si="15"/>
        <v>0</v>
      </c>
      <c r="H50" s="141">
        <f t="shared" si="0"/>
        <v>72455.352099999989</v>
      </c>
      <c r="I50" s="141">
        <f t="shared" si="15"/>
        <v>495.72499999999991</v>
      </c>
      <c r="J50" s="141">
        <f t="shared" si="15"/>
        <v>0</v>
      </c>
      <c r="K50" s="141">
        <f t="shared" si="15"/>
        <v>219.13</v>
      </c>
      <c r="L50" s="141">
        <f t="shared" si="15"/>
        <v>0</v>
      </c>
      <c r="M50" s="141">
        <f t="shared" si="15"/>
        <v>0</v>
      </c>
      <c r="N50" s="141">
        <f t="shared" si="1"/>
        <v>495.72499999999991</v>
      </c>
      <c r="O50" s="141">
        <f t="shared" si="15"/>
        <v>737.95</v>
      </c>
      <c r="P50" s="141">
        <f t="shared" si="15"/>
        <v>0</v>
      </c>
      <c r="Q50" s="141">
        <f t="shared" si="15"/>
        <v>684.15000000000009</v>
      </c>
      <c r="R50" s="141">
        <f t="shared" si="15"/>
        <v>0</v>
      </c>
      <c r="S50" s="141">
        <f t="shared" si="15"/>
        <v>0</v>
      </c>
      <c r="T50" s="141">
        <f t="shared" si="2"/>
        <v>737.95</v>
      </c>
      <c r="U50" s="141">
        <f t="shared" si="3"/>
        <v>73689.027099999992</v>
      </c>
    </row>
    <row r="51" spans="1:21" s="146" customFormat="1" ht="38.25" customHeight="1" x14ac:dyDescent="0.4">
      <c r="A51" s="237" t="s">
        <v>119</v>
      </c>
      <c r="B51" s="237"/>
      <c r="C51" s="141">
        <f>C50+C39+C25</f>
        <v>118999.9439</v>
      </c>
      <c r="D51" s="141">
        <f t="shared" ref="D51:S51" si="16">D50+D39+D25</f>
        <v>440.28499999999997</v>
      </c>
      <c r="E51" s="141">
        <f t="shared" si="16"/>
        <v>4793.299</v>
      </c>
      <c r="F51" s="141">
        <f t="shared" si="16"/>
        <v>4.1099999999999994</v>
      </c>
      <c r="G51" s="141">
        <f t="shared" si="16"/>
        <v>769.67000000000007</v>
      </c>
      <c r="H51" s="141">
        <f t="shared" si="0"/>
        <v>119436.1189</v>
      </c>
      <c r="I51" s="141">
        <f t="shared" si="16"/>
        <v>10838.858</v>
      </c>
      <c r="J51" s="141">
        <f t="shared" si="16"/>
        <v>70.328000000000003</v>
      </c>
      <c r="K51" s="141">
        <f t="shared" si="16"/>
        <v>2486.3419999999996</v>
      </c>
      <c r="L51" s="141">
        <f t="shared" si="16"/>
        <v>0.3</v>
      </c>
      <c r="M51" s="141">
        <f t="shared" si="16"/>
        <v>8.1499999999999986</v>
      </c>
      <c r="N51" s="141">
        <f t="shared" si="1"/>
        <v>10908.886</v>
      </c>
      <c r="O51" s="141">
        <f t="shared" si="16"/>
        <v>1676.6</v>
      </c>
      <c r="P51" s="141">
        <f t="shared" si="16"/>
        <v>1.24</v>
      </c>
      <c r="Q51" s="141">
        <f t="shared" si="16"/>
        <v>814.79000000000019</v>
      </c>
      <c r="R51" s="141">
        <f t="shared" si="16"/>
        <v>0.6</v>
      </c>
      <c r="S51" s="141">
        <f t="shared" si="16"/>
        <v>79.03</v>
      </c>
      <c r="T51" s="141">
        <f t="shared" si="2"/>
        <v>1677.24</v>
      </c>
      <c r="U51" s="141">
        <f t="shared" si="3"/>
        <v>132022.24489999999</v>
      </c>
    </row>
    <row r="52" spans="1:21" s="111" customFormat="1" ht="24" customHeight="1" x14ac:dyDescent="0.4">
      <c r="A52" s="115"/>
      <c r="B52" s="115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</row>
    <row r="53" spans="1:21" s="111" customFormat="1" ht="19.5" customHeight="1" x14ac:dyDescent="0.4">
      <c r="A53" s="115"/>
      <c r="B53" s="115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</row>
    <row r="54" spans="1:21" s="115" customFormat="1" ht="24.75" hidden="1" customHeight="1" x14ac:dyDescent="0.4">
      <c r="B54" s="174"/>
      <c r="C54" s="189" t="s">
        <v>54</v>
      </c>
      <c r="D54" s="189"/>
      <c r="E54" s="189"/>
      <c r="F54" s="189"/>
      <c r="G54" s="189"/>
      <c r="H54" s="118"/>
      <c r="I54" s="174"/>
      <c r="J54" s="174">
        <f>D51+J51+P51-F51-L51-R51</f>
        <v>506.8429999999999</v>
      </c>
      <c r="K54" s="174"/>
      <c r="L54" s="174"/>
      <c r="M54" s="174"/>
      <c r="N54" s="174"/>
      <c r="R54" s="174"/>
      <c r="U54" s="174"/>
    </row>
    <row r="55" spans="1:21" s="115" customFormat="1" ht="30" hidden="1" customHeight="1" x14ac:dyDescent="0.35">
      <c r="B55" s="174"/>
      <c r="C55" s="189" t="s">
        <v>55</v>
      </c>
      <c r="D55" s="189"/>
      <c r="E55" s="189"/>
      <c r="F55" s="189"/>
      <c r="G55" s="189"/>
      <c r="H55" s="119"/>
      <c r="I55" s="174"/>
      <c r="J55" s="174">
        <f>E51+K51+Q51-G51-M51-S51</f>
        <v>7237.5810000000001</v>
      </c>
      <c r="K55" s="174"/>
      <c r="L55" s="174"/>
      <c r="M55" s="174"/>
      <c r="N55" s="174"/>
      <c r="R55" s="174"/>
      <c r="T55" s="174"/>
    </row>
    <row r="56" spans="1:21" ht="33" hidden="1" customHeight="1" x14ac:dyDescent="0.5">
      <c r="C56" s="189" t="s">
        <v>56</v>
      </c>
      <c r="D56" s="189"/>
      <c r="E56" s="189"/>
      <c r="F56" s="189"/>
      <c r="G56" s="189"/>
      <c r="H56" s="119"/>
      <c r="I56" s="121"/>
      <c r="J56" s="174">
        <f>H51+N51+T51</f>
        <v>132022.24489999999</v>
      </c>
      <c r="K56" s="119"/>
      <c r="L56" s="119"/>
      <c r="M56" s="142" t="e">
        <f>#REF!+'Sep-2023'!J54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74"/>
      <c r="E57" s="174"/>
      <c r="F57" s="174"/>
      <c r="G57" s="174"/>
      <c r="H57" s="119"/>
      <c r="I57" s="121"/>
      <c r="J57" s="174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74"/>
      <c r="E58" s="174"/>
      <c r="F58" s="174"/>
      <c r="G58" s="174"/>
      <c r="H58" s="119"/>
      <c r="I58" s="121"/>
      <c r="J58" s="174"/>
      <c r="K58" s="119"/>
      <c r="L58" s="119"/>
      <c r="M58" s="142" t="e">
        <f>#REF!+'Sep-2023'!J54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32" t="s">
        <v>57</v>
      </c>
      <c r="C59" s="232"/>
      <c r="D59" s="232"/>
      <c r="E59" s="232"/>
      <c r="F59" s="232"/>
      <c r="G59" s="153"/>
      <c r="H59" s="154"/>
      <c r="I59" s="155"/>
      <c r="J59" s="234"/>
      <c r="K59" s="233"/>
      <c r="L59" s="233"/>
      <c r="M59" s="169" t="e">
        <f>#REF!+'Sep-2023'!J54</f>
        <v>#REF!</v>
      </c>
      <c r="N59" s="154"/>
      <c r="O59" s="154"/>
      <c r="P59" s="177"/>
      <c r="Q59" s="232" t="s">
        <v>58</v>
      </c>
      <c r="R59" s="232"/>
      <c r="S59" s="232"/>
      <c r="T59" s="232"/>
      <c r="U59" s="232"/>
    </row>
    <row r="60" spans="1:21" s="152" customFormat="1" ht="37.5" hidden="1" customHeight="1" x14ac:dyDescent="0.45">
      <c r="B60" s="232" t="s">
        <v>59</v>
      </c>
      <c r="C60" s="232"/>
      <c r="D60" s="232"/>
      <c r="E60" s="232"/>
      <c r="F60" s="232"/>
      <c r="G60" s="154"/>
      <c r="H60" s="153"/>
      <c r="I60" s="156"/>
      <c r="J60" s="157"/>
      <c r="K60" s="176"/>
      <c r="L60" s="157"/>
      <c r="M60" s="154"/>
      <c r="N60" s="153"/>
      <c r="O60" s="154"/>
      <c r="P60" s="177"/>
      <c r="Q60" s="232" t="s">
        <v>59</v>
      </c>
      <c r="R60" s="232"/>
      <c r="S60" s="232"/>
      <c r="T60" s="232"/>
      <c r="U60" s="232"/>
    </row>
    <row r="61" spans="1:21" s="152" customFormat="1" ht="37.5" hidden="1" customHeight="1" x14ac:dyDescent="0.45">
      <c r="I61" s="158"/>
      <c r="J61" s="233" t="s">
        <v>61</v>
      </c>
      <c r="K61" s="233"/>
      <c r="L61" s="233"/>
      <c r="M61" s="159" t="e">
        <f>#REF!+'Sep-2023'!J54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#REF!+'Sep-2023'!J54</f>
        <v>#REF!</v>
      </c>
      <c r="I62" s="158"/>
      <c r="J62" s="233" t="s">
        <v>62</v>
      </c>
      <c r="K62" s="233"/>
      <c r="L62" s="233"/>
      <c r="M62" s="159" t="e">
        <f>#REF!+'Sep-2023'!J54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R5:S5"/>
    <mergeCell ref="T5:T6"/>
    <mergeCell ref="I5:I6"/>
    <mergeCell ref="J5:K5"/>
    <mergeCell ref="L5:M5"/>
    <mergeCell ref="N5:N6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1:B11"/>
    <mergeCell ref="F5:G5"/>
    <mergeCell ref="H5:H6"/>
    <mergeCell ref="B60:F60"/>
    <mergeCell ref="Q60:U60"/>
    <mergeCell ref="J61:L61"/>
    <mergeCell ref="J62:L62"/>
    <mergeCell ref="C54:G54"/>
    <mergeCell ref="C55:G55"/>
    <mergeCell ref="C56:G56"/>
    <mergeCell ref="B59:F59"/>
    <mergeCell ref="J59:L59"/>
    <mergeCell ref="Q59:U5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opLeftCell="F1" zoomScale="40" zoomScaleNormal="40" workbookViewId="0">
      <selection activeCell="K7" sqref="K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85546875" style="107" bestFit="1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3" width="25.42578125" style="107" customWidth="1"/>
    <col min="14" max="14" width="27.7109375" style="107" bestFit="1" customWidth="1"/>
    <col min="15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0.85546875" style="123" bestFit="1" customWidth="1"/>
    <col min="22" max="16384" width="9.140625" style="107"/>
  </cols>
  <sheetData>
    <row r="1" spans="1:21" ht="78" customHeight="1" x14ac:dyDescent="0.35">
      <c r="A1" s="246" t="s">
        <v>123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</row>
    <row r="2" spans="1:21" ht="54" customHeight="1" x14ac:dyDescent="0.35">
      <c r="A2" s="248" t="s">
        <v>133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1" ht="32.25" customHeight="1" x14ac:dyDescent="0.35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</row>
    <row r="4" spans="1:21" s="108" customFormat="1" ht="43.5" customHeight="1" x14ac:dyDescent="0.25">
      <c r="A4" s="250" t="s">
        <v>122</v>
      </c>
      <c r="B4" s="235" t="s">
        <v>121</v>
      </c>
      <c r="C4" s="192" t="s">
        <v>131</v>
      </c>
      <c r="D4" s="193"/>
      <c r="E4" s="193"/>
      <c r="F4" s="193"/>
      <c r="G4" s="193"/>
      <c r="H4" s="193"/>
      <c r="I4" s="192" t="s">
        <v>130</v>
      </c>
      <c r="J4" s="193"/>
      <c r="K4" s="193"/>
      <c r="L4" s="193"/>
      <c r="M4" s="193"/>
      <c r="N4" s="193"/>
      <c r="O4" s="192" t="s">
        <v>129</v>
      </c>
      <c r="P4" s="193"/>
      <c r="Q4" s="193"/>
      <c r="R4" s="193"/>
      <c r="S4" s="193"/>
      <c r="T4" s="193"/>
      <c r="U4" s="175"/>
    </row>
    <row r="5" spans="1:21" s="108" customFormat="1" ht="54.75" customHeight="1" x14ac:dyDescent="0.25">
      <c r="A5" s="252"/>
      <c r="B5" s="253"/>
      <c r="C5" s="244" t="s">
        <v>6</v>
      </c>
      <c r="D5" s="238" t="s">
        <v>127</v>
      </c>
      <c r="E5" s="239"/>
      <c r="F5" s="238" t="s">
        <v>126</v>
      </c>
      <c r="G5" s="239"/>
      <c r="H5" s="244" t="s">
        <v>9</v>
      </c>
      <c r="I5" s="244" t="s">
        <v>6</v>
      </c>
      <c r="J5" s="238" t="s">
        <v>127</v>
      </c>
      <c r="K5" s="239"/>
      <c r="L5" s="238" t="s">
        <v>126</v>
      </c>
      <c r="M5" s="239"/>
      <c r="N5" s="244" t="s">
        <v>9</v>
      </c>
      <c r="O5" s="244" t="s">
        <v>6</v>
      </c>
      <c r="P5" s="238" t="s">
        <v>127</v>
      </c>
      <c r="Q5" s="239"/>
      <c r="R5" s="238" t="s">
        <v>126</v>
      </c>
      <c r="S5" s="239"/>
      <c r="T5" s="244" t="s">
        <v>9</v>
      </c>
      <c r="U5" s="235" t="s">
        <v>128</v>
      </c>
    </row>
    <row r="6" spans="1:21" s="108" customFormat="1" ht="38.25" customHeight="1" x14ac:dyDescent="0.25">
      <c r="A6" s="252"/>
      <c r="B6" s="236"/>
      <c r="C6" s="245"/>
      <c r="D6" s="172" t="s">
        <v>124</v>
      </c>
      <c r="E6" s="172" t="s">
        <v>125</v>
      </c>
      <c r="F6" s="172" t="s">
        <v>124</v>
      </c>
      <c r="G6" s="172" t="s">
        <v>125</v>
      </c>
      <c r="H6" s="245"/>
      <c r="I6" s="245"/>
      <c r="J6" s="172" t="s">
        <v>124</v>
      </c>
      <c r="K6" s="172" t="s">
        <v>125</v>
      </c>
      <c r="L6" s="172" t="s">
        <v>124</v>
      </c>
      <c r="M6" s="172" t="s">
        <v>125</v>
      </c>
      <c r="N6" s="245"/>
      <c r="O6" s="245"/>
      <c r="P6" s="172" t="s">
        <v>124</v>
      </c>
      <c r="Q6" s="172" t="s">
        <v>125</v>
      </c>
      <c r="R6" s="172" t="s">
        <v>124</v>
      </c>
      <c r="S6" s="172" t="s">
        <v>125</v>
      </c>
      <c r="T6" s="245"/>
      <c r="U6" s="236"/>
    </row>
    <row r="7" spans="1:21" ht="38.25" customHeight="1" x14ac:dyDescent="0.35">
      <c r="A7" s="171">
        <v>1</v>
      </c>
      <c r="B7" s="172" t="s">
        <v>78</v>
      </c>
      <c r="C7" s="139">
        <v>7.179999999999982</v>
      </c>
      <c r="D7" s="139">
        <v>0</v>
      </c>
      <c r="E7" s="139">
        <f>D7</f>
        <v>0</v>
      </c>
      <c r="F7" s="139">
        <v>0</v>
      </c>
      <c r="G7" s="139">
        <f>F7</f>
        <v>0</v>
      </c>
      <c r="H7" s="139">
        <f>C7+D7-F7</f>
        <v>7.179999999999982</v>
      </c>
      <c r="I7" s="139">
        <v>714.45699999999977</v>
      </c>
      <c r="J7" s="139">
        <v>3.2850000000000001</v>
      </c>
      <c r="K7" s="139">
        <f>J7</f>
        <v>3.2850000000000001</v>
      </c>
      <c r="L7" s="139">
        <v>0</v>
      </c>
      <c r="M7" s="139">
        <f>L7</f>
        <v>0</v>
      </c>
      <c r="N7" s="139">
        <f>I7+J7-L7</f>
        <v>717.74199999999973</v>
      </c>
      <c r="O7" s="139">
        <v>8.436000000000007</v>
      </c>
      <c r="P7" s="139">
        <v>0</v>
      </c>
      <c r="Q7" s="139">
        <f>P7</f>
        <v>0</v>
      </c>
      <c r="R7" s="139">
        <v>0</v>
      </c>
      <c r="S7" s="139">
        <f>R7</f>
        <v>0</v>
      </c>
      <c r="T7" s="139">
        <f>O7+P7-R7</f>
        <v>8.436000000000007</v>
      </c>
      <c r="U7" s="139">
        <f>H7+N7+T7</f>
        <v>733.35799999999972</v>
      </c>
    </row>
    <row r="8" spans="1:21" ht="38.25" customHeight="1" x14ac:dyDescent="0.35">
      <c r="A8" s="171">
        <v>2</v>
      </c>
      <c r="B8" s="172" t="s">
        <v>79</v>
      </c>
      <c r="C8" s="139">
        <v>265.98999999999995</v>
      </c>
      <c r="D8" s="139">
        <v>0</v>
      </c>
      <c r="E8" s="139">
        <f t="shared" ref="E8:E48" si="0">D8</f>
        <v>0</v>
      </c>
      <c r="F8" s="139">
        <v>0</v>
      </c>
      <c r="G8" s="139">
        <f t="shared" ref="G8:G48" si="1">F8</f>
        <v>0</v>
      </c>
      <c r="H8" s="139">
        <f t="shared" ref="H8:H48" si="2">C8+D8-F8</f>
        <v>265.98999999999995</v>
      </c>
      <c r="I8" s="139">
        <v>398.14600000000007</v>
      </c>
      <c r="J8" s="139">
        <v>4.1050000000000004</v>
      </c>
      <c r="K8" s="139">
        <f t="shared" ref="K8:K48" si="3">J8</f>
        <v>4.1050000000000004</v>
      </c>
      <c r="L8" s="139">
        <v>0</v>
      </c>
      <c r="M8" s="139">
        <f t="shared" ref="M8:M48" si="4">L8</f>
        <v>0</v>
      </c>
      <c r="N8" s="139">
        <f t="shared" ref="N8:N48" si="5">I8+J8-L8</f>
        <v>402.25100000000009</v>
      </c>
      <c r="O8" s="139">
        <v>66.290000000000006</v>
      </c>
      <c r="P8" s="139">
        <v>0</v>
      </c>
      <c r="Q8" s="139">
        <f t="shared" ref="Q8:Q48" si="6">P8</f>
        <v>0</v>
      </c>
      <c r="R8" s="139">
        <v>0</v>
      </c>
      <c r="S8" s="139">
        <f t="shared" ref="S8:S48" si="7">R8</f>
        <v>0</v>
      </c>
      <c r="T8" s="139">
        <f t="shared" ref="T8:T48" si="8">O8+P8-R8</f>
        <v>66.290000000000006</v>
      </c>
      <c r="U8" s="139">
        <f t="shared" ref="U8:U48" si="9">H8+N8+T8</f>
        <v>734.53099999999995</v>
      </c>
    </row>
    <row r="9" spans="1:21" ht="38.25" customHeight="1" x14ac:dyDescent="0.35">
      <c r="A9" s="171">
        <v>3</v>
      </c>
      <c r="B9" s="172" t="s">
        <v>80</v>
      </c>
      <c r="C9" s="139">
        <v>209.16</v>
      </c>
      <c r="D9" s="139">
        <v>0</v>
      </c>
      <c r="E9" s="139">
        <f t="shared" si="0"/>
        <v>0</v>
      </c>
      <c r="F9" s="139">
        <v>0</v>
      </c>
      <c r="G9" s="139">
        <f t="shared" si="1"/>
        <v>0</v>
      </c>
      <c r="H9" s="139">
        <f t="shared" si="2"/>
        <v>209.16</v>
      </c>
      <c r="I9" s="139">
        <v>903.24800000000005</v>
      </c>
      <c r="J9" s="139">
        <v>5.56</v>
      </c>
      <c r="K9" s="139">
        <f t="shared" si="3"/>
        <v>5.56</v>
      </c>
      <c r="L9" s="139">
        <v>0</v>
      </c>
      <c r="M9" s="139">
        <f t="shared" si="4"/>
        <v>0</v>
      </c>
      <c r="N9" s="139">
        <f t="shared" si="5"/>
        <v>908.80799999999999</v>
      </c>
      <c r="O9" s="139">
        <v>44.739999999999995</v>
      </c>
      <c r="P9" s="139">
        <v>0</v>
      </c>
      <c r="Q9" s="139">
        <f t="shared" si="6"/>
        <v>0</v>
      </c>
      <c r="R9" s="139">
        <v>0</v>
      </c>
      <c r="S9" s="139">
        <f t="shared" si="7"/>
        <v>0</v>
      </c>
      <c r="T9" s="139">
        <f t="shared" si="8"/>
        <v>44.739999999999995</v>
      </c>
      <c r="U9" s="139">
        <f t="shared" si="9"/>
        <v>1162.7080000000001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0</v>
      </c>
      <c r="D10" s="139">
        <v>0</v>
      </c>
      <c r="E10" s="139">
        <f t="shared" si="0"/>
        <v>0</v>
      </c>
      <c r="F10" s="139">
        <v>0</v>
      </c>
      <c r="G10" s="139">
        <f t="shared" si="1"/>
        <v>0</v>
      </c>
      <c r="H10" s="139">
        <f t="shared" si="2"/>
        <v>0</v>
      </c>
      <c r="I10" s="139">
        <v>364.9729999999999</v>
      </c>
      <c r="J10" s="139">
        <v>1.0960000000000001</v>
      </c>
      <c r="K10" s="139">
        <f t="shared" si="3"/>
        <v>1.0960000000000001</v>
      </c>
      <c r="L10" s="139">
        <v>0</v>
      </c>
      <c r="M10" s="139">
        <f t="shared" si="4"/>
        <v>0</v>
      </c>
      <c r="N10" s="139">
        <f t="shared" si="5"/>
        <v>366.0689999999999</v>
      </c>
      <c r="O10" s="139">
        <v>0.20000000000000007</v>
      </c>
      <c r="P10" s="139">
        <v>0</v>
      </c>
      <c r="Q10" s="139">
        <f t="shared" si="6"/>
        <v>0</v>
      </c>
      <c r="R10" s="139">
        <v>0</v>
      </c>
      <c r="S10" s="139">
        <f t="shared" si="7"/>
        <v>0</v>
      </c>
      <c r="T10" s="139">
        <f t="shared" si="8"/>
        <v>0.20000000000000007</v>
      </c>
      <c r="U10" s="139">
        <f t="shared" si="9"/>
        <v>366.26899999999989</v>
      </c>
    </row>
    <row r="11" spans="1:21" s="111" customFormat="1" ht="38.25" customHeight="1" x14ac:dyDescent="0.4">
      <c r="A11" s="238" t="s">
        <v>82</v>
      </c>
      <c r="B11" s="239"/>
      <c r="C11" s="141">
        <f>SUM(C7:C10)</f>
        <v>482.32999999999993</v>
      </c>
      <c r="D11" s="141">
        <f t="shared" ref="D11:U11" si="10">SUM(D7:D10)</f>
        <v>0</v>
      </c>
      <c r="E11" s="141">
        <f t="shared" si="10"/>
        <v>0</v>
      </c>
      <c r="F11" s="141">
        <f t="shared" si="10"/>
        <v>0</v>
      </c>
      <c r="G11" s="141">
        <f t="shared" si="10"/>
        <v>0</v>
      </c>
      <c r="H11" s="141">
        <f t="shared" si="10"/>
        <v>482.32999999999993</v>
      </c>
      <c r="I11" s="141">
        <f t="shared" si="10"/>
        <v>2380.8239999999996</v>
      </c>
      <c r="J11" s="141">
        <f t="shared" si="10"/>
        <v>14.045999999999999</v>
      </c>
      <c r="K11" s="141">
        <f t="shared" si="10"/>
        <v>14.045999999999999</v>
      </c>
      <c r="L11" s="141">
        <f t="shared" si="10"/>
        <v>0</v>
      </c>
      <c r="M11" s="141">
        <f t="shared" si="10"/>
        <v>0</v>
      </c>
      <c r="N11" s="141">
        <f t="shared" si="10"/>
        <v>2394.87</v>
      </c>
      <c r="O11" s="141">
        <f t="shared" si="10"/>
        <v>119.66600000000001</v>
      </c>
      <c r="P11" s="141">
        <f t="shared" si="10"/>
        <v>0</v>
      </c>
      <c r="Q11" s="141">
        <f t="shared" si="10"/>
        <v>0</v>
      </c>
      <c r="R11" s="141">
        <f t="shared" si="10"/>
        <v>0</v>
      </c>
      <c r="S11" s="141">
        <f t="shared" si="10"/>
        <v>0</v>
      </c>
      <c r="T11" s="141">
        <f t="shared" si="10"/>
        <v>119.66600000000001</v>
      </c>
      <c r="U11" s="141">
        <f t="shared" si="10"/>
        <v>2996.8659999999995</v>
      </c>
    </row>
    <row r="12" spans="1:21" ht="38.25" customHeight="1" x14ac:dyDescent="0.35">
      <c r="A12" s="171">
        <v>4</v>
      </c>
      <c r="B12" s="172" t="s">
        <v>83</v>
      </c>
      <c r="C12" s="139">
        <v>22.179999999999609</v>
      </c>
      <c r="D12" s="139">
        <v>0</v>
      </c>
      <c r="E12" s="139">
        <f t="shared" si="0"/>
        <v>0</v>
      </c>
      <c r="F12" s="139">
        <v>0</v>
      </c>
      <c r="G12" s="139">
        <f t="shared" si="1"/>
        <v>0</v>
      </c>
      <c r="H12" s="139">
        <f t="shared" si="2"/>
        <v>22.179999999999609</v>
      </c>
      <c r="I12" s="139">
        <v>1276.4349999999997</v>
      </c>
      <c r="J12" s="182">
        <v>2.41</v>
      </c>
      <c r="K12" s="139">
        <f t="shared" si="3"/>
        <v>2.41</v>
      </c>
      <c r="L12" s="139">
        <v>0</v>
      </c>
      <c r="M12" s="139">
        <f t="shared" si="4"/>
        <v>0</v>
      </c>
      <c r="N12" s="139">
        <f t="shared" si="5"/>
        <v>1278.8449999999998</v>
      </c>
      <c r="O12" s="139">
        <v>1.9700000000000095</v>
      </c>
      <c r="P12" s="139">
        <v>0</v>
      </c>
      <c r="Q12" s="139">
        <f t="shared" si="6"/>
        <v>0</v>
      </c>
      <c r="R12" s="139">
        <v>0</v>
      </c>
      <c r="S12" s="139">
        <f t="shared" si="7"/>
        <v>0</v>
      </c>
      <c r="T12" s="139">
        <f t="shared" si="8"/>
        <v>1.9700000000000095</v>
      </c>
      <c r="U12" s="139">
        <f t="shared" si="9"/>
        <v>1302.9949999999994</v>
      </c>
    </row>
    <row r="13" spans="1:21" ht="38.25" customHeight="1" x14ac:dyDescent="0.35">
      <c r="A13" s="171">
        <v>5</v>
      </c>
      <c r="B13" s="172" t="s">
        <v>84</v>
      </c>
      <c r="C13" s="139">
        <v>312.23000000000013</v>
      </c>
      <c r="D13" s="139">
        <v>0</v>
      </c>
      <c r="E13" s="139">
        <f t="shared" si="0"/>
        <v>0</v>
      </c>
      <c r="F13" s="139">
        <v>0</v>
      </c>
      <c r="G13" s="139">
        <f t="shared" si="1"/>
        <v>0</v>
      </c>
      <c r="H13" s="139">
        <f t="shared" si="2"/>
        <v>312.23000000000013</v>
      </c>
      <c r="I13" s="139">
        <v>545.53200000000015</v>
      </c>
      <c r="J13" s="182">
        <v>1.85</v>
      </c>
      <c r="K13" s="139">
        <f t="shared" si="3"/>
        <v>1.85</v>
      </c>
      <c r="L13" s="139">
        <v>0</v>
      </c>
      <c r="M13" s="139">
        <f t="shared" si="4"/>
        <v>0</v>
      </c>
      <c r="N13" s="139">
        <f t="shared" si="5"/>
        <v>547.38200000000018</v>
      </c>
      <c r="O13" s="139">
        <v>68.39</v>
      </c>
      <c r="P13" s="139">
        <v>0</v>
      </c>
      <c r="Q13" s="139">
        <f t="shared" si="6"/>
        <v>0</v>
      </c>
      <c r="R13" s="139">
        <v>0</v>
      </c>
      <c r="S13" s="139">
        <f t="shared" si="7"/>
        <v>0</v>
      </c>
      <c r="T13" s="139">
        <f t="shared" si="8"/>
        <v>68.39</v>
      </c>
      <c r="U13" s="139">
        <f t="shared" si="9"/>
        <v>928.00200000000029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1216.4399999999994</v>
      </c>
      <c r="D14" s="139">
        <v>0</v>
      </c>
      <c r="E14" s="139">
        <f t="shared" si="0"/>
        <v>0</v>
      </c>
      <c r="F14" s="139">
        <v>0</v>
      </c>
      <c r="G14" s="139">
        <f t="shared" si="1"/>
        <v>0</v>
      </c>
      <c r="H14" s="139">
        <f t="shared" si="2"/>
        <v>1216.4399999999994</v>
      </c>
      <c r="I14" s="139">
        <v>903.49800000000027</v>
      </c>
      <c r="J14" s="182">
        <v>9.61</v>
      </c>
      <c r="K14" s="139">
        <f t="shared" si="3"/>
        <v>9.61</v>
      </c>
      <c r="L14" s="139">
        <v>0</v>
      </c>
      <c r="M14" s="139">
        <f t="shared" si="4"/>
        <v>0</v>
      </c>
      <c r="N14" s="139">
        <f t="shared" si="5"/>
        <v>913.10800000000029</v>
      </c>
      <c r="O14" s="139">
        <v>61.329999999999991</v>
      </c>
      <c r="P14" s="139">
        <v>0</v>
      </c>
      <c r="Q14" s="139">
        <f t="shared" si="6"/>
        <v>0</v>
      </c>
      <c r="R14" s="139">
        <v>0</v>
      </c>
      <c r="S14" s="139">
        <f t="shared" si="7"/>
        <v>0</v>
      </c>
      <c r="T14" s="139">
        <f t="shared" si="8"/>
        <v>61.329999999999991</v>
      </c>
      <c r="U14" s="139">
        <f t="shared" si="9"/>
        <v>2190.8779999999997</v>
      </c>
    </row>
    <row r="15" spans="1:21" s="111" customFormat="1" ht="38.25" customHeight="1" x14ac:dyDescent="0.4">
      <c r="A15" s="238" t="s">
        <v>86</v>
      </c>
      <c r="B15" s="239"/>
      <c r="C15" s="141">
        <f>SUM(C12:C14)</f>
        <v>1550.849999999999</v>
      </c>
      <c r="D15" s="141">
        <f t="shared" ref="D15:U15" si="11">SUM(D12:D14)</f>
        <v>0</v>
      </c>
      <c r="E15" s="141">
        <f t="shared" si="11"/>
        <v>0</v>
      </c>
      <c r="F15" s="141">
        <f t="shared" si="11"/>
        <v>0</v>
      </c>
      <c r="G15" s="141">
        <f t="shared" si="11"/>
        <v>0</v>
      </c>
      <c r="H15" s="141">
        <f t="shared" si="11"/>
        <v>1550.849999999999</v>
      </c>
      <c r="I15" s="141">
        <f t="shared" si="11"/>
        <v>2725.4650000000001</v>
      </c>
      <c r="J15" s="141">
        <f t="shared" si="11"/>
        <v>13.87</v>
      </c>
      <c r="K15" s="141">
        <f t="shared" si="11"/>
        <v>13.87</v>
      </c>
      <c r="L15" s="141">
        <f t="shared" si="11"/>
        <v>0</v>
      </c>
      <c r="M15" s="141">
        <f t="shared" si="11"/>
        <v>0</v>
      </c>
      <c r="N15" s="141">
        <f t="shared" si="11"/>
        <v>2739.335</v>
      </c>
      <c r="O15" s="141">
        <f t="shared" si="11"/>
        <v>131.69</v>
      </c>
      <c r="P15" s="141">
        <f t="shared" si="11"/>
        <v>0</v>
      </c>
      <c r="Q15" s="141">
        <f t="shared" si="11"/>
        <v>0</v>
      </c>
      <c r="R15" s="141">
        <f t="shared" si="11"/>
        <v>0</v>
      </c>
      <c r="S15" s="141">
        <f t="shared" si="11"/>
        <v>0</v>
      </c>
      <c r="T15" s="141">
        <f t="shared" si="11"/>
        <v>131.69</v>
      </c>
      <c r="U15" s="141">
        <f t="shared" si="11"/>
        <v>4421.875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756.16400000000033</v>
      </c>
      <c r="D16" s="139">
        <v>0.42</v>
      </c>
      <c r="E16" s="139">
        <f t="shared" si="0"/>
        <v>0.42</v>
      </c>
      <c r="F16" s="139">
        <v>4.2300000000000004</v>
      </c>
      <c r="G16" s="139">
        <f t="shared" si="1"/>
        <v>4.2300000000000004</v>
      </c>
      <c r="H16" s="139">
        <f t="shared" si="2"/>
        <v>752.35400000000027</v>
      </c>
      <c r="I16" s="139">
        <v>576.97600000000011</v>
      </c>
      <c r="J16" s="139">
        <v>0.45</v>
      </c>
      <c r="K16" s="139">
        <f t="shared" si="3"/>
        <v>0.45</v>
      </c>
      <c r="L16" s="139">
        <v>0</v>
      </c>
      <c r="M16" s="139">
        <f t="shared" si="4"/>
        <v>0</v>
      </c>
      <c r="N16" s="139">
        <f t="shared" si="5"/>
        <v>577.42600000000016</v>
      </c>
      <c r="O16" s="139">
        <v>177.44200000000004</v>
      </c>
      <c r="P16" s="139">
        <v>0.03</v>
      </c>
      <c r="Q16" s="139">
        <f t="shared" si="6"/>
        <v>0.03</v>
      </c>
      <c r="R16" s="139">
        <v>0</v>
      </c>
      <c r="S16" s="139">
        <f t="shared" si="7"/>
        <v>0</v>
      </c>
      <c r="T16" s="139">
        <f t="shared" si="8"/>
        <v>177.47200000000004</v>
      </c>
      <c r="U16" s="139">
        <f t="shared" si="9"/>
        <v>1507.2520000000004</v>
      </c>
    </row>
    <row r="17" spans="1:21" ht="38.25" customHeight="1" x14ac:dyDescent="0.35">
      <c r="A17" s="171">
        <v>9</v>
      </c>
      <c r="B17" s="172" t="s">
        <v>120</v>
      </c>
      <c r="C17" s="139">
        <v>2.6759999999999478</v>
      </c>
      <c r="D17" s="139">
        <v>0</v>
      </c>
      <c r="E17" s="139">
        <f t="shared" si="0"/>
        <v>0</v>
      </c>
      <c r="F17" s="139">
        <v>0</v>
      </c>
      <c r="G17" s="139">
        <f t="shared" si="1"/>
        <v>0</v>
      </c>
      <c r="H17" s="139">
        <f t="shared" si="2"/>
        <v>2.6759999999999478</v>
      </c>
      <c r="I17" s="139">
        <v>589.12</v>
      </c>
      <c r="J17" s="139">
        <v>5.93</v>
      </c>
      <c r="K17" s="139">
        <f t="shared" si="3"/>
        <v>5.93</v>
      </c>
      <c r="L17" s="139">
        <v>0</v>
      </c>
      <c r="M17" s="139">
        <f t="shared" si="4"/>
        <v>0</v>
      </c>
      <c r="N17" s="139">
        <f t="shared" si="5"/>
        <v>595.04999999999995</v>
      </c>
      <c r="O17" s="139">
        <v>1.9500000000000002</v>
      </c>
      <c r="P17" s="139">
        <v>0</v>
      </c>
      <c r="Q17" s="139">
        <v>0</v>
      </c>
      <c r="R17" s="139">
        <v>0</v>
      </c>
      <c r="S17" s="139">
        <f t="shared" si="7"/>
        <v>0</v>
      </c>
      <c r="T17" s="139">
        <f t="shared" si="8"/>
        <v>1.9500000000000002</v>
      </c>
      <c r="U17" s="139">
        <f t="shared" si="9"/>
        <v>599.67599999999993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90.266000000000147</v>
      </c>
      <c r="D18" s="139">
        <v>0.05</v>
      </c>
      <c r="E18" s="139">
        <f t="shared" si="0"/>
        <v>0.05</v>
      </c>
      <c r="F18" s="139">
        <v>0.05</v>
      </c>
      <c r="G18" s="139">
        <f t="shared" si="1"/>
        <v>0.05</v>
      </c>
      <c r="H18" s="139">
        <f t="shared" si="2"/>
        <v>90.266000000000147</v>
      </c>
      <c r="I18" s="139">
        <v>617.29500000000007</v>
      </c>
      <c r="J18" s="139">
        <f>1.025+1.53</f>
        <v>2.5549999999999997</v>
      </c>
      <c r="K18" s="139">
        <f t="shared" si="3"/>
        <v>2.5549999999999997</v>
      </c>
      <c r="L18" s="139">
        <v>0</v>
      </c>
      <c r="M18" s="139">
        <f t="shared" si="4"/>
        <v>0</v>
      </c>
      <c r="N18" s="139">
        <f t="shared" si="5"/>
        <v>619.85</v>
      </c>
      <c r="O18" s="139">
        <v>35.689999999999991</v>
      </c>
      <c r="P18" s="139">
        <v>0</v>
      </c>
      <c r="Q18" s="139">
        <f t="shared" si="6"/>
        <v>0</v>
      </c>
      <c r="R18" s="139">
        <v>0</v>
      </c>
      <c r="S18" s="139">
        <f t="shared" si="7"/>
        <v>0</v>
      </c>
      <c r="T18" s="139">
        <f t="shared" si="8"/>
        <v>35.689999999999991</v>
      </c>
      <c r="U18" s="139">
        <f t="shared" si="9"/>
        <v>745.80600000000015</v>
      </c>
    </row>
    <row r="19" spans="1:21" s="111" customFormat="1" ht="38.25" customHeight="1" x14ac:dyDescent="0.4">
      <c r="A19" s="238" t="s">
        <v>89</v>
      </c>
      <c r="B19" s="239"/>
      <c r="C19" s="141">
        <f>SUM(C16:C18)</f>
        <v>849.10600000000045</v>
      </c>
      <c r="D19" s="141">
        <f t="shared" ref="D19:U19" si="12">SUM(D16:D18)</f>
        <v>0.47</v>
      </c>
      <c r="E19" s="141">
        <f t="shared" si="12"/>
        <v>0.47</v>
      </c>
      <c r="F19" s="141">
        <f t="shared" si="12"/>
        <v>4.28</v>
      </c>
      <c r="G19" s="141">
        <f t="shared" si="12"/>
        <v>4.28</v>
      </c>
      <c r="H19" s="141">
        <f t="shared" si="12"/>
        <v>845.29600000000039</v>
      </c>
      <c r="I19" s="141">
        <f t="shared" si="12"/>
        <v>1783.3910000000001</v>
      </c>
      <c r="J19" s="141">
        <f t="shared" si="12"/>
        <v>8.9349999999999987</v>
      </c>
      <c r="K19" s="141">
        <f t="shared" si="12"/>
        <v>8.9349999999999987</v>
      </c>
      <c r="L19" s="141">
        <f t="shared" si="12"/>
        <v>0</v>
      </c>
      <c r="M19" s="141">
        <f t="shared" si="12"/>
        <v>0</v>
      </c>
      <c r="N19" s="141">
        <f t="shared" si="12"/>
        <v>1792.326</v>
      </c>
      <c r="O19" s="141">
        <f t="shared" si="12"/>
        <v>215.08200000000002</v>
      </c>
      <c r="P19" s="141">
        <f t="shared" si="12"/>
        <v>0.03</v>
      </c>
      <c r="Q19" s="141">
        <f t="shared" si="12"/>
        <v>0.03</v>
      </c>
      <c r="R19" s="141">
        <f t="shared" si="12"/>
        <v>0</v>
      </c>
      <c r="S19" s="141">
        <f t="shared" si="12"/>
        <v>0</v>
      </c>
      <c r="T19" s="141">
        <f t="shared" si="12"/>
        <v>215.11200000000002</v>
      </c>
      <c r="U19" s="141">
        <f t="shared" si="12"/>
        <v>2852.7340000000004</v>
      </c>
    </row>
    <row r="20" spans="1:21" ht="38.25" customHeight="1" x14ac:dyDescent="0.35">
      <c r="A20" s="171">
        <v>8</v>
      </c>
      <c r="B20" s="172" t="s">
        <v>91</v>
      </c>
      <c r="C20" s="139">
        <v>607.42999999999984</v>
      </c>
      <c r="D20" s="139">
        <v>0</v>
      </c>
      <c r="E20" s="139">
        <f t="shared" si="0"/>
        <v>0</v>
      </c>
      <c r="F20" s="139">
        <v>0</v>
      </c>
      <c r="G20" s="139">
        <f t="shared" si="1"/>
        <v>0</v>
      </c>
      <c r="H20" s="139">
        <f t="shared" si="2"/>
        <v>607.42999999999984</v>
      </c>
      <c r="I20" s="139">
        <v>748.40800000000024</v>
      </c>
      <c r="J20" s="139">
        <v>0.74</v>
      </c>
      <c r="K20" s="139">
        <f t="shared" si="3"/>
        <v>0.74</v>
      </c>
      <c r="L20" s="139">
        <v>0.02</v>
      </c>
      <c r="M20" s="139">
        <f t="shared" si="4"/>
        <v>0.02</v>
      </c>
      <c r="N20" s="139">
        <f t="shared" si="5"/>
        <v>749.12800000000027</v>
      </c>
      <c r="O20" s="139">
        <v>37.580000000000005</v>
      </c>
      <c r="P20" s="139">
        <v>0</v>
      </c>
      <c r="Q20" s="139">
        <f t="shared" si="6"/>
        <v>0</v>
      </c>
      <c r="R20" s="139">
        <v>0</v>
      </c>
      <c r="S20" s="139">
        <f t="shared" si="7"/>
        <v>0</v>
      </c>
      <c r="T20" s="139">
        <f t="shared" si="8"/>
        <v>37.580000000000005</v>
      </c>
      <c r="U20" s="139">
        <f t="shared" si="9"/>
        <v>1394.1379999999999</v>
      </c>
    </row>
    <row r="21" spans="1:21" ht="38.25" customHeight="1" x14ac:dyDescent="0.35">
      <c r="A21" s="171">
        <v>9</v>
      </c>
      <c r="B21" s="172" t="s">
        <v>90</v>
      </c>
      <c r="C21" s="139">
        <v>2.0700000000000003</v>
      </c>
      <c r="D21" s="139">
        <v>0</v>
      </c>
      <c r="E21" s="139">
        <f t="shared" si="0"/>
        <v>0</v>
      </c>
      <c r="F21" s="139">
        <v>0</v>
      </c>
      <c r="G21" s="139">
        <f t="shared" si="1"/>
        <v>0</v>
      </c>
      <c r="H21" s="139">
        <f t="shared" si="2"/>
        <v>2.0700000000000003</v>
      </c>
      <c r="I21" s="139">
        <v>461.42700000000008</v>
      </c>
      <c r="J21" s="139">
        <v>0.35</v>
      </c>
      <c r="K21" s="139">
        <f t="shared" si="3"/>
        <v>0.35</v>
      </c>
      <c r="L21" s="139">
        <v>0.02</v>
      </c>
      <c r="M21" s="139">
        <f t="shared" si="4"/>
        <v>0.02</v>
      </c>
      <c r="N21" s="139">
        <f t="shared" si="5"/>
        <v>461.75700000000012</v>
      </c>
      <c r="O21" s="139">
        <v>18.889999999999993</v>
      </c>
      <c r="P21" s="139">
        <v>0</v>
      </c>
      <c r="Q21" s="139">
        <f t="shared" si="6"/>
        <v>0</v>
      </c>
      <c r="R21" s="139">
        <v>0</v>
      </c>
      <c r="S21" s="139">
        <f t="shared" si="7"/>
        <v>0</v>
      </c>
      <c r="T21" s="139">
        <f t="shared" si="8"/>
        <v>18.889999999999993</v>
      </c>
      <c r="U21" s="139">
        <f t="shared" si="9"/>
        <v>482.7170000000001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22.430000000000021</v>
      </c>
      <c r="D22" s="139">
        <v>0</v>
      </c>
      <c r="E22" s="139">
        <f t="shared" si="0"/>
        <v>0</v>
      </c>
      <c r="F22" s="139">
        <v>0</v>
      </c>
      <c r="G22" s="139">
        <f t="shared" si="1"/>
        <v>0</v>
      </c>
      <c r="H22" s="139">
        <f t="shared" si="2"/>
        <v>22.430000000000021</v>
      </c>
      <c r="I22" s="139">
        <v>698.22000000000014</v>
      </c>
      <c r="J22" s="139">
        <v>0.33</v>
      </c>
      <c r="K22" s="139">
        <f t="shared" si="3"/>
        <v>0.33</v>
      </c>
      <c r="L22" s="139">
        <v>0</v>
      </c>
      <c r="M22" s="139">
        <f t="shared" si="4"/>
        <v>0</v>
      </c>
      <c r="N22" s="139">
        <f t="shared" si="5"/>
        <v>698.55000000000018</v>
      </c>
      <c r="O22" s="139">
        <v>0.60000000000000098</v>
      </c>
      <c r="P22" s="139">
        <v>0</v>
      </c>
      <c r="Q22" s="139">
        <f t="shared" si="6"/>
        <v>0</v>
      </c>
      <c r="R22" s="139">
        <v>0</v>
      </c>
      <c r="S22" s="139">
        <f t="shared" si="7"/>
        <v>0</v>
      </c>
      <c r="T22" s="139">
        <f t="shared" si="8"/>
        <v>0.60000000000000098</v>
      </c>
      <c r="U22" s="139">
        <f t="shared" si="9"/>
        <v>721.58000000000027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430.64</v>
      </c>
      <c r="D23" s="139">
        <v>0</v>
      </c>
      <c r="E23" s="139">
        <f t="shared" si="0"/>
        <v>0</v>
      </c>
      <c r="F23" s="139">
        <v>0</v>
      </c>
      <c r="G23" s="139">
        <f t="shared" si="1"/>
        <v>0</v>
      </c>
      <c r="H23" s="139">
        <f t="shared" si="2"/>
        <v>430.64</v>
      </c>
      <c r="I23" s="139">
        <v>139.55499999999998</v>
      </c>
      <c r="J23" s="139">
        <v>0.74</v>
      </c>
      <c r="K23" s="139">
        <f t="shared" si="3"/>
        <v>0.74</v>
      </c>
      <c r="L23" s="139">
        <v>0</v>
      </c>
      <c r="M23" s="139">
        <f t="shared" si="4"/>
        <v>0</v>
      </c>
      <c r="N23" s="139">
        <f t="shared" si="5"/>
        <v>140.29499999999999</v>
      </c>
      <c r="O23" s="139">
        <v>22.5</v>
      </c>
      <c r="P23" s="139">
        <v>0</v>
      </c>
      <c r="Q23" s="139">
        <f t="shared" si="6"/>
        <v>0</v>
      </c>
      <c r="R23" s="139">
        <v>0</v>
      </c>
      <c r="S23" s="139">
        <f t="shared" si="7"/>
        <v>0</v>
      </c>
      <c r="T23" s="139">
        <f t="shared" si="8"/>
        <v>22.5</v>
      </c>
      <c r="U23" s="139">
        <f t="shared" si="9"/>
        <v>593.43499999999995</v>
      </c>
    </row>
    <row r="24" spans="1:21" s="111" customFormat="1" ht="38.25" customHeight="1" x14ac:dyDescent="0.4">
      <c r="A24" s="240" t="s">
        <v>94</v>
      </c>
      <c r="B24" s="240"/>
      <c r="C24" s="141">
        <f>SUM(C20:C23)</f>
        <v>1062.57</v>
      </c>
      <c r="D24" s="141">
        <f t="shared" ref="D24:U24" si="13">SUM(D20:D23)</f>
        <v>0</v>
      </c>
      <c r="E24" s="141">
        <f t="shared" si="13"/>
        <v>0</v>
      </c>
      <c r="F24" s="141">
        <f t="shared" si="13"/>
        <v>0</v>
      </c>
      <c r="G24" s="141">
        <f t="shared" si="13"/>
        <v>0</v>
      </c>
      <c r="H24" s="141">
        <f t="shared" si="13"/>
        <v>1062.57</v>
      </c>
      <c r="I24" s="141">
        <f t="shared" si="13"/>
        <v>2047.6100000000004</v>
      </c>
      <c r="J24" s="141">
        <f t="shared" si="13"/>
        <v>2.16</v>
      </c>
      <c r="K24" s="141">
        <f t="shared" si="13"/>
        <v>2.16</v>
      </c>
      <c r="L24" s="141">
        <f t="shared" si="13"/>
        <v>0.04</v>
      </c>
      <c r="M24" s="141">
        <f t="shared" si="13"/>
        <v>0.04</v>
      </c>
      <c r="N24" s="141">
        <f t="shared" si="13"/>
        <v>2049.7300000000005</v>
      </c>
      <c r="O24" s="141">
        <f t="shared" si="13"/>
        <v>79.569999999999993</v>
      </c>
      <c r="P24" s="141">
        <f t="shared" si="13"/>
        <v>0</v>
      </c>
      <c r="Q24" s="141">
        <f t="shared" si="13"/>
        <v>0</v>
      </c>
      <c r="R24" s="141">
        <f t="shared" si="13"/>
        <v>0</v>
      </c>
      <c r="S24" s="141">
        <f t="shared" si="13"/>
        <v>0</v>
      </c>
      <c r="T24" s="141">
        <f t="shared" si="13"/>
        <v>79.569999999999993</v>
      </c>
      <c r="U24" s="141">
        <f t="shared" si="13"/>
        <v>3191.8700000000003</v>
      </c>
    </row>
    <row r="25" spans="1:21" s="145" customFormat="1" ht="38.25" customHeight="1" x14ac:dyDescent="0.4">
      <c r="A25" s="241" t="s">
        <v>95</v>
      </c>
      <c r="B25" s="242"/>
      <c r="C25" s="141">
        <f>C24+C19+C15+C11</f>
        <v>3944.8559999999993</v>
      </c>
      <c r="D25" s="141">
        <f t="shared" ref="D25:U25" si="14">D24+D19+D15+D11</f>
        <v>0.47</v>
      </c>
      <c r="E25" s="141">
        <f t="shared" si="14"/>
        <v>0.47</v>
      </c>
      <c r="F25" s="141">
        <f t="shared" si="14"/>
        <v>4.28</v>
      </c>
      <c r="G25" s="141">
        <f t="shared" si="14"/>
        <v>4.28</v>
      </c>
      <c r="H25" s="141">
        <f t="shared" si="14"/>
        <v>3941.0459999999994</v>
      </c>
      <c r="I25" s="141">
        <f t="shared" si="14"/>
        <v>8937.2900000000009</v>
      </c>
      <c r="J25" s="141">
        <f t="shared" si="14"/>
        <v>39.010999999999996</v>
      </c>
      <c r="K25" s="141">
        <f t="shared" si="14"/>
        <v>39.010999999999996</v>
      </c>
      <c r="L25" s="141">
        <f t="shared" si="14"/>
        <v>0.04</v>
      </c>
      <c r="M25" s="141">
        <f t="shared" si="14"/>
        <v>0.04</v>
      </c>
      <c r="N25" s="141">
        <f t="shared" si="14"/>
        <v>8976.2610000000004</v>
      </c>
      <c r="O25" s="141">
        <f t="shared" si="14"/>
        <v>546.00800000000004</v>
      </c>
      <c r="P25" s="141">
        <f t="shared" si="14"/>
        <v>0.03</v>
      </c>
      <c r="Q25" s="141">
        <f t="shared" si="14"/>
        <v>0.03</v>
      </c>
      <c r="R25" s="141">
        <f t="shared" si="14"/>
        <v>0</v>
      </c>
      <c r="S25" s="141">
        <f t="shared" si="14"/>
        <v>0</v>
      </c>
      <c r="T25" s="141">
        <f t="shared" si="14"/>
        <v>546.03800000000001</v>
      </c>
      <c r="U25" s="141">
        <f t="shared" si="14"/>
        <v>13463.345000000001</v>
      </c>
    </row>
    <row r="26" spans="1:21" ht="38.25" customHeight="1" x14ac:dyDescent="0.35">
      <c r="A26" s="171">
        <v>15</v>
      </c>
      <c r="B26" s="172" t="s">
        <v>96</v>
      </c>
      <c r="C26" s="139">
        <v>1628.29</v>
      </c>
      <c r="D26" s="139">
        <v>5.48</v>
      </c>
      <c r="E26" s="139">
        <f t="shared" si="0"/>
        <v>5.48</v>
      </c>
      <c r="F26" s="139">
        <v>0</v>
      </c>
      <c r="G26" s="139">
        <f t="shared" si="1"/>
        <v>0</v>
      </c>
      <c r="H26" s="139">
        <f t="shared" si="2"/>
        <v>1633.77</v>
      </c>
      <c r="I26" s="139">
        <v>121.55</v>
      </c>
      <c r="J26" s="139">
        <v>0.62</v>
      </c>
      <c r="K26" s="139">
        <f t="shared" si="3"/>
        <v>0.62</v>
      </c>
      <c r="L26" s="139">
        <v>0</v>
      </c>
      <c r="M26" s="139">
        <f t="shared" si="4"/>
        <v>0</v>
      </c>
      <c r="N26" s="139">
        <f t="shared" si="5"/>
        <v>122.17</v>
      </c>
      <c r="O26" s="139">
        <v>16.369999999999997</v>
      </c>
      <c r="P26" s="139">
        <v>0</v>
      </c>
      <c r="Q26" s="139">
        <f t="shared" si="6"/>
        <v>0</v>
      </c>
      <c r="R26" s="139">
        <v>0</v>
      </c>
      <c r="S26" s="139">
        <f t="shared" si="7"/>
        <v>0</v>
      </c>
      <c r="T26" s="139">
        <f t="shared" si="8"/>
        <v>16.369999999999997</v>
      </c>
      <c r="U26" s="139">
        <f t="shared" si="9"/>
        <v>1772.31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5685.3750000000045</v>
      </c>
      <c r="D27" s="139">
        <v>7.76</v>
      </c>
      <c r="E27" s="139">
        <f t="shared" si="0"/>
        <v>7.76</v>
      </c>
      <c r="F27" s="139">
        <v>0.02</v>
      </c>
      <c r="G27" s="139">
        <f t="shared" si="1"/>
        <v>0.02</v>
      </c>
      <c r="H27" s="139">
        <f t="shared" si="2"/>
        <v>5693.1150000000043</v>
      </c>
      <c r="I27" s="139">
        <v>634.17799999999988</v>
      </c>
      <c r="J27" s="139">
        <v>0.57999999999999996</v>
      </c>
      <c r="K27" s="139">
        <f t="shared" si="3"/>
        <v>0.57999999999999996</v>
      </c>
      <c r="L27" s="139">
        <v>0.02</v>
      </c>
      <c r="M27" s="139">
        <f t="shared" si="4"/>
        <v>0.02</v>
      </c>
      <c r="N27" s="139">
        <f t="shared" si="5"/>
        <v>634.73799999999994</v>
      </c>
      <c r="O27" s="139">
        <v>33.800000000000004</v>
      </c>
      <c r="P27" s="139">
        <v>0</v>
      </c>
      <c r="Q27" s="139">
        <f t="shared" si="6"/>
        <v>0</v>
      </c>
      <c r="R27" s="139">
        <v>0</v>
      </c>
      <c r="S27" s="139">
        <f t="shared" si="7"/>
        <v>0</v>
      </c>
      <c r="T27" s="139">
        <f t="shared" si="8"/>
        <v>33.800000000000004</v>
      </c>
      <c r="U27" s="139">
        <f t="shared" si="9"/>
        <v>6361.6530000000048</v>
      </c>
    </row>
    <row r="28" spans="1:21" s="111" customFormat="1" ht="38.25" customHeight="1" x14ac:dyDescent="0.4">
      <c r="A28" s="240" t="s">
        <v>98</v>
      </c>
      <c r="B28" s="240"/>
      <c r="C28" s="141">
        <f>SUM(C26:C27)</f>
        <v>7313.6650000000045</v>
      </c>
      <c r="D28" s="141">
        <f t="shared" ref="D28:U28" si="15">SUM(D26:D27)</f>
        <v>13.24</v>
      </c>
      <c r="E28" s="141">
        <f t="shared" si="15"/>
        <v>13.24</v>
      </c>
      <c r="F28" s="141">
        <f t="shared" si="15"/>
        <v>0.02</v>
      </c>
      <c r="G28" s="141">
        <f t="shared" si="15"/>
        <v>0.02</v>
      </c>
      <c r="H28" s="141">
        <f t="shared" si="15"/>
        <v>7326.8850000000039</v>
      </c>
      <c r="I28" s="141">
        <f t="shared" si="15"/>
        <v>755.72799999999984</v>
      </c>
      <c r="J28" s="141">
        <f t="shared" si="15"/>
        <v>1.2</v>
      </c>
      <c r="K28" s="141">
        <f t="shared" si="15"/>
        <v>1.2</v>
      </c>
      <c r="L28" s="141">
        <f t="shared" si="15"/>
        <v>0.02</v>
      </c>
      <c r="M28" s="141">
        <f t="shared" si="15"/>
        <v>0.02</v>
      </c>
      <c r="N28" s="141">
        <f t="shared" si="15"/>
        <v>756.9079999999999</v>
      </c>
      <c r="O28" s="141">
        <f t="shared" si="15"/>
        <v>50.17</v>
      </c>
      <c r="P28" s="141">
        <f t="shared" si="15"/>
        <v>0</v>
      </c>
      <c r="Q28" s="141">
        <f t="shared" si="15"/>
        <v>0</v>
      </c>
      <c r="R28" s="141">
        <f t="shared" si="15"/>
        <v>0</v>
      </c>
      <c r="S28" s="141">
        <f t="shared" si="15"/>
        <v>0</v>
      </c>
      <c r="T28" s="141">
        <f t="shared" si="15"/>
        <v>50.17</v>
      </c>
      <c r="U28" s="141">
        <f t="shared" si="15"/>
        <v>8133.9630000000052</v>
      </c>
    </row>
    <row r="29" spans="1:21" ht="38.25" customHeight="1" x14ac:dyDescent="0.35">
      <c r="A29" s="171">
        <v>17</v>
      </c>
      <c r="B29" s="172" t="s">
        <v>99</v>
      </c>
      <c r="C29" s="139">
        <v>4881.0380000000005</v>
      </c>
      <c r="D29" s="139">
        <f>7.03+121.61</f>
        <v>128.63999999999999</v>
      </c>
      <c r="E29" s="139">
        <f t="shared" si="0"/>
        <v>128.63999999999999</v>
      </c>
      <c r="F29" s="139">
        <v>0</v>
      </c>
      <c r="G29" s="139">
        <f t="shared" si="1"/>
        <v>0</v>
      </c>
      <c r="H29" s="139">
        <f t="shared" si="2"/>
        <v>5009.6780000000008</v>
      </c>
      <c r="I29" s="139">
        <v>121.53000000000002</v>
      </c>
      <c r="J29" s="139">
        <v>0.06</v>
      </c>
      <c r="K29" s="139">
        <f>J29</f>
        <v>0.06</v>
      </c>
      <c r="L29" s="139">
        <v>0</v>
      </c>
      <c r="M29" s="139">
        <f t="shared" si="4"/>
        <v>0</v>
      </c>
      <c r="N29" s="139">
        <f t="shared" si="5"/>
        <v>121.59000000000002</v>
      </c>
      <c r="O29" s="139">
        <v>34.52000000000001</v>
      </c>
      <c r="P29" s="139">
        <v>0</v>
      </c>
      <c r="Q29" s="139">
        <f t="shared" si="6"/>
        <v>0</v>
      </c>
      <c r="R29" s="139">
        <v>0</v>
      </c>
      <c r="S29" s="139">
        <f t="shared" si="7"/>
        <v>0</v>
      </c>
      <c r="T29" s="139">
        <f t="shared" si="8"/>
        <v>34.52000000000001</v>
      </c>
      <c r="U29" s="139">
        <f t="shared" si="9"/>
        <v>5165.7880000000014</v>
      </c>
    </row>
    <row r="30" spans="1:21" ht="38.25" customHeight="1" x14ac:dyDescent="0.35">
      <c r="A30" s="171">
        <v>18</v>
      </c>
      <c r="B30" s="172" t="s">
        <v>100</v>
      </c>
      <c r="C30" s="139">
        <v>3702.1499999999992</v>
      </c>
      <c r="D30" s="139">
        <v>7.18</v>
      </c>
      <c r="E30" s="139">
        <f t="shared" si="0"/>
        <v>7.18</v>
      </c>
      <c r="F30" s="139">
        <v>0</v>
      </c>
      <c r="G30" s="139">
        <f t="shared" si="1"/>
        <v>0</v>
      </c>
      <c r="H30" s="139">
        <f t="shared" si="2"/>
        <v>3709.329999999999</v>
      </c>
      <c r="I30" s="139">
        <v>198.58699999999999</v>
      </c>
      <c r="J30" s="139">
        <v>0</v>
      </c>
      <c r="K30" s="139">
        <f t="shared" si="3"/>
        <v>0</v>
      </c>
      <c r="L30" s="139">
        <v>0</v>
      </c>
      <c r="M30" s="139">
        <f t="shared" si="4"/>
        <v>0</v>
      </c>
      <c r="N30" s="139">
        <f t="shared" si="5"/>
        <v>198.58699999999999</v>
      </c>
      <c r="O30" s="139">
        <v>23.25</v>
      </c>
      <c r="P30" s="139">
        <v>0</v>
      </c>
      <c r="Q30" s="139">
        <f t="shared" si="6"/>
        <v>0</v>
      </c>
      <c r="R30" s="139">
        <v>0</v>
      </c>
      <c r="S30" s="139">
        <f t="shared" si="7"/>
        <v>0</v>
      </c>
      <c r="T30" s="139">
        <f t="shared" si="8"/>
        <v>23.25</v>
      </c>
      <c r="U30" s="139">
        <f t="shared" si="9"/>
        <v>3931.166999999999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4702.4920000000011</v>
      </c>
      <c r="D31" s="139">
        <v>0</v>
      </c>
      <c r="E31" s="139">
        <f t="shared" si="0"/>
        <v>0</v>
      </c>
      <c r="F31" s="139">
        <v>0</v>
      </c>
      <c r="G31" s="139">
        <f t="shared" si="1"/>
        <v>0</v>
      </c>
      <c r="H31" s="139">
        <f t="shared" si="2"/>
        <v>4702.4920000000011</v>
      </c>
      <c r="I31" s="139">
        <v>107.69000000000003</v>
      </c>
      <c r="J31" s="139">
        <v>0.20499999999999999</v>
      </c>
      <c r="K31" s="139">
        <f t="shared" si="3"/>
        <v>0.20499999999999999</v>
      </c>
      <c r="L31" s="139">
        <v>0</v>
      </c>
      <c r="M31" s="139">
        <f t="shared" si="4"/>
        <v>0</v>
      </c>
      <c r="N31" s="139">
        <f t="shared" si="5"/>
        <v>107.89500000000002</v>
      </c>
      <c r="O31" s="139">
        <v>14.850000000000001</v>
      </c>
      <c r="P31" s="139">
        <v>0</v>
      </c>
      <c r="Q31" s="139">
        <f t="shared" si="6"/>
        <v>0</v>
      </c>
      <c r="R31" s="139">
        <v>0</v>
      </c>
      <c r="S31" s="139">
        <f t="shared" si="7"/>
        <v>0</v>
      </c>
      <c r="T31" s="139">
        <f t="shared" si="8"/>
        <v>14.850000000000001</v>
      </c>
      <c r="U31" s="139">
        <f t="shared" si="9"/>
        <v>4825.2370000000019</v>
      </c>
    </row>
    <row r="32" spans="1:21" ht="38.25" customHeight="1" x14ac:dyDescent="0.35">
      <c r="A32" s="171">
        <v>20</v>
      </c>
      <c r="B32" s="172" t="s">
        <v>102</v>
      </c>
      <c r="C32" s="139">
        <v>2374.025799999999</v>
      </c>
      <c r="D32" s="139">
        <v>2.42</v>
      </c>
      <c r="E32" s="139">
        <f t="shared" si="0"/>
        <v>2.42</v>
      </c>
      <c r="F32" s="139">
        <v>9.73</v>
      </c>
      <c r="G32" s="139">
        <f t="shared" si="1"/>
        <v>9.73</v>
      </c>
      <c r="H32" s="139">
        <f t="shared" si="2"/>
        <v>2366.715799999999</v>
      </c>
      <c r="I32" s="139">
        <v>93.176000000000016</v>
      </c>
      <c r="J32" s="139">
        <v>1.5580000000000001</v>
      </c>
      <c r="K32" s="139">
        <f t="shared" si="3"/>
        <v>1.5580000000000001</v>
      </c>
      <c r="L32" s="139">
        <v>0</v>
      </c>
      <c r="M32" s="139">
        <f t="shared" si="4"/>
        <v>0</v>
      </c>
      <c r="N32" s="139">
        <f t="shared" si="5"/>
        <v>94.734000000000023</v>
      </c>
      <c r="O32" s="139">
        <v>67.551999999999992</v>
      </c>
      <c r="P32" s="139">
        <v>0</v>
      </c>
      <c r="Q32" s="139">
        <f t="shared" si="6"/>
        <v>0</v>
      </c>
      <c r="R32" s="139">
        <v>0</v>
      </c>
      <c r="S32" s="139">
        <f t="shared" si="7"/>
        <v>0</v>
      </c>
      <c r="T32" s="139">
        <f t="shared" si="8"/>
        <v>67.551999999999992</v>
      </c>
      <c r="U32" s="139">
        <f t="shared" si="9"/>
        <v>2529.0017999999991</v>
      </c>
    </row>
    <row r="33" spans="1:21" s="111" customFormat="1" ht="38.25" customHeight="1" x14ac:dyDescent="0.4">
      <c r="A33" s="240" t="s">
        <v>99</v>
      </c>
      <c r="B33" s="240"/>
      <c r="C33" s="141">
        <f>SUM(C29:C32)</f>
        <v>15659.7058</v>
      </c>
      <c r="D33" s="141">
        <f t="shared" ref="D33:U33" si="16">SUM(D29:D32)</f>
        <v>138.23999999999998</v>
      </c>
      <c r="E33" s="141">
        <f t="shared" si="16"/>
        <v>138.23999999999998</v>
      </c>
      <c r="F33" s="141">
        <f t="shared" si="16"/>
        <v>9.73</v>
      </c>
      <c r="G33" s="141">
        <f t="shared" si="16"/>
        <v>9.73</v>
      </c>
      <c r="H33" s="141">
        <f t="shared" si="16"/>
        <v>15788.215799999998</v>
      </c>
      <c r="I33" s="141">
        <f t="shared" si="16"/>
        <v>520.98300000000006</v>
      </c>
      <c r="J33" s="141">
        <f t="shared" si="16"/>
        <v>1.823</v>
      </c>
      <c r="K33" s="141">
        <f t="shared" si="16"/>
        <v>1.823</v>
      </c>
      <c r="L33" s="141">
        <f t="shared" si="16"/>
        <v>0</v>
      </c>
      <c r="M33" s="141">
        <f t="shared" si="16"/>
        <v>0</v>
      </c>
      <c r="N33" s="141">
        <f t="shared" si="16"/>
        <v>522.80600000000004</v>
      </c>
      <c r="O33" s="141">
        <f t="shared" si="16"/>
        <v>140.172</v>
      </c>
      <c r="P33" s="141">
        <f t="shared" si="16"/>
        <v>0</v>
      </c>
      <c r="Q33" s="141">
        <f t="shared" si="16"/>
        <v>0</v>
      </c>
      <c r="R33" s="141">
        <f t="shared" si="16"/>
        <v>0</v>
      </c>
      <c r="S33" s="141">
        <f t="shared" si="16"/>
        <v>0</v>
      </c>
      <c r="T33" s="141">
        <f t="shared" si="16"/>
        <v>140.172</v>
      </c>
      <c r="U33" s="141">
        <f t="shared" si="16"/>
        <v>16451.193800000001</v>
      </c>
    </row>
    <row r="34" spans="1:21" ht="38.25" customHeight="1" x14ac:dyDescent="0.35">
      <c r="A34" s="171">
        <v>21</v>
      </c>
      <c r="B34" s="172" t="s">
        <v>103</v>
      </c>
      <c r="C34" s="139">
        <v>4586.75</v>
      </c>
      <c r="D34" s="139">
        <v>9.98</v>
      </c>
      <c r="E34" s="139">
        <f t="shared" si="0"/>
        <v>9.98</v>
      </c>
      <c r="F34" s="139">
        <v>0</v>
      </c>
      <c r="G34" s="139">
        <f t="shared" si="1"/>
        <v>0</v>
      </c>
      <c r="H34" s="139">
        <f t="shared" si="2"/>
        <v>4596.7299999999996</v>
      </c>
      <c r="I34" s="139">
        <v>108.07999999999998</v>
      </c>
      <c r="J34" s="139">
        <v>0.09</v>
      </c>
      <c r="K34" s="139">
        <f t="shared" si="3"/>
        <v>0.09</v>
      </c>
      <c r="L34" s="139">
        <v>0</v>
      </c>
      <c r="M34" s="139">
        <f t="shared" si="4"/>
        <v>0</v>
      </c>
      <c r="N34" s="139">
        <f t="shared" si="5"/>
        <v>108.16999999999999</v>
      </c>
      <c r="O34" s="139">
        <v>72.7</v>
      </c>
      <c r="P34" s="139">
        <v>0</v>
      </c>
      <c r="Q34" s="139">
        <f t="shared" si="6"/>
        <v>0</v>
      </c>
      <c r="R34" s="139">
        <v>0</v>
      </c>
      <c r="S34" s="139">
        <f t="shared" si="7"/>
        <v>0</v>
      </c>
      <c r="T34" s="139">
        <f t="shared" si="8"/>
        <v>72.7</v>
      </c>
      <c r="U34" s="139">
        <f t="shared" si="9"/>
        <v>4777.5999999999995</v>
      </c>
    </row>
    <row r="35" spans="1:21" ht="38.25" customHeight="1" x14ac:dyDescent="0.35">
      <c r="A35" s="171">
        <v>22</v>
      </c>
      <c r="B35" s="172" t="s">
        <v>104</v>
      </c>
      <c r="C35" s="139">
        <v>6683.6199999999981</v>
      </c>
      <c r="D35" s="139">
        <v>21.5</v>
      </c>
      <c r="E35" s="139">
        <f t="shared" si="0"/>
        <v>21.5</v>
      </c>
      <c r="F35" s="139">
        <v>0</v>
      </c>
      <c r="G35" s="139">
        <f t="shared" si="1"/>
        <v>0</v>
      </c>
      <c r="H35" s="139">
        <f t="shared" si="2"/>
        <v>6705.1199999999981</v>
      </c>
      <c r="I35" s="139">
        <v>34.130000000000003</v>
      </c>
      <c r="J35" s="139">
        <v>0.04</v>
      </c>
      <c r="K35" s="139">
        <f t="shared" si="3"/>
        <v>0.04</v>
      </c>
      <c r="L35" s="139">
        <v>0</v>
      </c>
      <c r="M35" s="139">
        <f t="shared" si="4"/>
        <v>0</v>
      </c>
      <c r="N35" s="139">
        <f t="shared" si="5"/>
        <v>34.17</v>
      </c>
      <c r="O35" s="139">
        <v>90.800000000000011</v>
      </c>
      <c r="P35" s="139">
        <v>0</v>
      </c>
      <c r="Q35" s="139">
        <f t="shared" si="6"/>
        <v>0</v>
      </c>
      <c r="R35" s="139">
        <v>0</v>
      </c>
      <c r="S35" s="139">
        <f t="shared" si="7"/>
        <v>0</v>
      </c>
      <c r="T35" s="139">
        <f t="shared" si="8"/>
        <v>90.800000000000011</v>
      </c>
      <c r="U35" s="139">
        <f t="shared" si="9"/>
        <v>6830.0899999999983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3697.66</v>
      </c>
      <c r="D36" s="139">
        <v>2.5299999999999998</v>
      </c>
      <c r="E36" s="139">
        <f t="shared" si="0"/>
        <v>2.5299999999999998</v>
      </c>
      <c r="F36" s="139">
        <v>0</v>
      </c>
      <c r="G36" s="139">
        <f t="shared" si="1"/>
        <v>0</v>
      </c>
      <c r="H36" s="139">
        <f t="shared" si="2"/>
        <v>3700.19</v>
      </c>
      <c r="I36" s="139">
        <v>30.250000000000039</v>
      </c>
      <c r="J36" s="139">
        <v>0</v>
      </c>
      <c r="K36" s="139">
        <f t="shared" si="3"/>
        <v>0</v>
      </c>
      <c r="L36" s="139">
        <v>0</v>
      </c>
      <c r="M36" s="139">
        <f t="shared" si="4"/>
        <v>0</v>
      </c>
      <c r="N36" s="139">
        <f t="shared" si="5"/>
        <v>30.250000000000039</v>
      </c>
      <c r="O36" s="139">
        <v>36.379999999999995</v>
      </c>
      <c r="P36" s="139">
        <v>0</v>
      </c>
      <c r="Q36" s="139">
        <f t="shared" si="6"/>
        <v>0</v>
      </c>
      <c r="R36" s="139">
        <v>0</v>
      </c>
      <c r="S36" s="139">
        <f t="shared" si="7"/>
        <v>0</v>
      </c>
      <c r="T36" s="139">
        <f t="shared" si="8"/>
        <v>36.379999999999995</v>
      </c>
      <c r="U36" s="139">
        <f t="shared" si="9"/>
        <v>3766.82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5094.5099999999984</v>
      </c>
      <c r="D37" s="139">
        <v>5.54</v>
      </c>
      <c r="E37" s="139">
        <f t="shared" si="0"/>
        <v>5.54</v>
      </c>
      <c r="F37" s="139">
        <v>0</v>
      </c>
      <c r="G37" s="139">
        <f t="shared" si="1"/>
        <v>0</v>
      </c>
      <c r="H37" s="139">
        <f t="shared" si="2"/>
        <v>5100.0499999999984</v>
      </c>
      <c r="I37" s="139">
        <v>26.700000000000003</v>
      </c>
      <c r="J37" s="139">
        <v>0</v>
      </c>
      <c r="K37" s="139">
        <f t="shared" si="3"/>
        <v>0</v>
      </c>
      <c r="L37" s="139">
        <v>0</v>
      </c>
      <c r="M37" s="139">
        <f t="shared" si="4"/>
        <v>0</v>
      </c>
      <c r="N37" s="139">
        <f t="shared" si="5"/>
        <v>26.700000000000003</v>
      </c>
      <c r="O37" s="139">
        <v>3.0599999999999996</v>
      </c>
      <c r="P37" s="139">
        <v>0</v>
      </c>
      <c r="Q37" s="139">
        <f t="shared" si="6"/>
        <v>0</v>
      </c>
      <c r="R37" s="139">
        <v>0</v>
      </c>
      <c r="S37" s="139">
        <f t="shared" si="7"/>
        <v>0</v>
      </c>
      <c r="T37" s="139">
        <f t="shared" si="8"/>
        <v>3.0599999999999996</v>
      </c>
      <c r="U37" s="139">
        <f t="shared" si="9"/>
        <v>5129.8099999999986</v>
      </c>
    </row>
    <row r="38" spans="1:21" s="111" customFormat="1" ht="38.25" customHeight="1" x14ac:dyDescent="0.4">
      <c r="A38" s="240" t="s">
        <v>107</v>
      </c>
      <c r="B38" s="240"/>
      <c r="C38" s="141">
        <f>SUM(C34:C37)</f>
        <v>20062.539999999997</v>
      </c>
      <c r="D38" s="141">
        <f t="shared" ref="D38:U38" si="17">SUM(D34:D37)</f>
        <v>39.549999999999997</v>
      </c>
      <c r="E38" s="141">
        <f t="shared" si="17"/>
        <v>39.549999999999997</v>
      </c>
      <c r="F38" s="141">
        <f t="shared" si="17"/>
        <v>0</v>
      </c>
      <c r="G38" s="141">
        <f t="shared" si="17"/>
        <v>0</v>
      </c>
      <c r="H38" s="141">
        <f t="shared" si="17"/>
        <v>20102.089999999997</v>
      </c>
      <c r="I38" s="141">
        <f t="shared" si="17"/>
        <v>199.16000000000003</v>
      </c>
      <c r="J38" s="141">
        <f t="shared" si="17"/>
        <v>0.13</v>
      </c>
      <c r="K38" s="141">
        <f t="shared" si="17"/>
        <v>0.13</v>
      </c>
      <c r="L38" s="141">
        <f t="shared" si="17"/>
        <v>0</v>
      </c>
      <c r="M38" s="141">
        <f t="shared" si="17"/>
        <v>0</v>
      </c>
      <c r="N38" s="141">
        <f t="shared" si="17"/>
        <v>199.29000000000002</v>
      </c>
      <c r="O38" s="141">
        <f t="shared" si="17"/>
        <v>202.94</v>
      </c>
      <c r="P38" s="141">
        <f t="shared" si="17"/>
        <v>0</v>
      </c>
      <c r="Q38" s="141">
        <f t="shared" si="17"/>
        <v>0</v>
      </c>
      <c r="R38" s="141">
        <f t="shared" si="17"/>
        <v>0</v>
      </c>
      <c r="S38" s="141">
        <f t="shared" si="17"/>
        <v>0</v>
      </c>
      <c r="T38" s="141">
        <f t="shared" si="17"/>
        <v>202.94</v>
      </c>
      <c r="U38" s="141">
        <f t="shared" si="17"/>
        <v>20504.319999999996</v>
      </c>
    </row>
    <row r="39" spans="1:21" s="145" customFormat="1" ht="38.25" customHeight="1" x14ac:dyDescent="0.4">
      <c r="A39" s="243" t="s">
        <v>108</v>
      </c>
      <c r="B39" s="243"/>
      <c r="C39" s="141">
        <f>C38+C33+C28</f>
        <v>43035.910799999998</v>
      </c>
      <c r="D39" s="141">
        <f t="shared" ref="D39:U39" si="18">D38+D33+D28</f>
        <v>191.02999999999997</v>
      </c>
      <c r="E39" s="141">
        <f t="shared" si="18"/>
        <v>191.02999999999997</v>
      </c>
      <c r="F39" s="141">
        <f t="shared" si="18"/>
        <v>9.75</v>
      </c>
      <c r="G39" s="141">
        <f t="shared" si="18"/>
        <v>9.75</v>
      </c>
      <c r="H39" s="141">
        <f t="shared" si="18"/>
        <v>43217.190799999997</v>
      </c>
      <c r="I39" s="141">
        <f t="shared" si="18"/>
        <v>1475.8709999999999</v>
      </c>
      <c r="J39" s="141">
        <f t="shared" si="18"/>
        <v>3.1529999999999996</v>
      </c>
      <c r="K39" s="141">
        <f t="shared" si="18"/>
        <v>3.1529999999999996</v>
      </c>
      <c r="L39" s="141">
        <f t="shared" si="18"/>
        <v>0.02</v>
      </c>
      <c r="M39" s="141">
        <f t="shared" si="18"/>
        <v>0.02</v>
      </c>
      <c r="N39" s="141">
        <f t="shared" si="18"/>
        <v>1479.0039999999999</v>
      </c>
      <c r="O39" s="141">
        <f t="shared" si="18"/>
        <v>393.28199999999998</v>
      </c>
      <c r="P39" s="141">
        <f t="shared" si="18"/>
        <v>0</v>
      </c>
      <c r="Q39" s="141">
        <f t="shared" si="18"/>
        <v>0</v>
      </c>
      <c r="R39" s="141">
        <f t="shared" si="18"/>
        <v>0</v>
      </c>
      <c r="S39" s="141">
        <f t="shared" si="18"/>
        <v>0</v>
      </c>
      <c r="T39" s="141">
        <f t="shared" si="18"/>
        <v>393.28199999999998</v>
      </c>
      <c r="U39" s="141">
        <f t="shared" si="18"/>
        <v>45089.476800000004</v>
      </c>
    </row>
    <row r="40" spans="1:21" ht="38.25" customHeight="1" x14ac:dyDescent="0.35">
      <c r="A40" s="171">
        <v>25</v>
      </c>
      <c r="B40" s="172" t="s">
        <v>109</v>
      </c>
      <c r="C40" s="139">
        <v>11857.623999999998</v>
      </c>
      <c r="D40" s="139">
        <v>9</v>
      </c>
      <c r="E40" s="139">
        <f t="shared" si="0"/>
        <v>9</v>
      </c>
      <c r="F40" s="139">
        <v>0</v>
      </c>
      <c r="G40" s="139">
        <f t="shared" si="1"/>
        <v>0</v>
      </c>
      <c r="H40" s="139">
        <f t="shared" si="2"/>
        <v>11866.623999999998</v>
      </c>
      <c r="I40" s="139">
        <v>198.73</v>
      </c>
      <c r="J40" s="139">
        <v>0</v>
      </c>
      <c r="K40" s="139">
        <f t="shared" si="3"/>
        <v>0</v>
      </c>
      <c r="L40" s="139">
        <v>0</v>
      </c>
      <c r="M40" s="139">
        <f t="shared" si="4"/>
        <v>0</v>
      </c>
      <c r="N40" s="139">
        <f t="shared" si="5"/>
        <v>198.73</v>
      </c>
      <c r="O40" s="139">
        <v>106.93</v>
      </c>
      <c r="P40" s="139">
        <v>0</v>
      </c>
      <c r="Q40" s="139">
        <f t="shared" si="6"/>
        <v>0</v>
      </c>
      <c r="R40" s="139">
        <v>0</v>
      </c>
      <c r="S40" s="139">
        <f t="shared" si="7"/>
        <v>0</v>
      </c>
      <c r="T40" s="139">
        <f t="shared" si="8"/>
        <v>106.93</v>
      </c>
      <c r="U40" s="139">
        <f t="shared" si="9"/>
        <v>12172.283999999998</v>
      </c>
    </row>
    <row r="41" spans="1:21" ht="38.25" customHeight="1" x14ac:dyDescent="0.35">
      <c r="A41" s="171">
        <v>26</v>
      </c>
      <c r="B41" s="172" t="s">
        <v>110</v>
      </c>
      <c r="C41" s="139">
        <v>8447.398999999994</v>
      </c>
      <c r="D41" s="139">
        <v>0.04</v>
      </c>
      <c r="E41" s="139">
        <f t="shared" si="0"/>
        <v>0.04</v>
      </c>
      <c r="F41" s="139">
        <v>0</v>
      </c>
      <c r="G41" s="139">
        <f t="shared" si="1"/>
        <v>0</v>
      </c>
      <c r="H41" s="139">
        <f t="shared" si="2"/>
        <v>8447.4389999999948</v>
      </c>
      <c r="I41" s="139">
        <v>8.67</v>
      </c>
      <c r="J41" s="139">
        <v>0</v>
      </c>
      <c r="K41" s="139">
        <f t="shared" si="3"/>
        <v>0</v>
      </c>
      <c r="L41" s="139">
        <v>0</v>
      </c>
      <c r="M41" s="139">
        <f t="shared" si="4"/>
        <v>0</v>
      </c>
      <c r="N41" s="139">
        <f t="shared" si="5"/>
        <v>8.67</v>
      </c>
      <c r="O41" s="139">
        <v>141.29000000000002</v>
      </c>
      <c r="P41" s="139">
        <v>0</v>
      </c>
      <c r="Q41" s="139">
        <f t="shared" si="6"/>
        <v>0</v>
      </c>
      <c r="R41" s="139">
        <v>0</v>
      </c>
      <c r="S41" s="139">
        <f t="shared" si="7"/>
        <v>0</v>
      </c>
      <c r="T41" s="139">
        <f t="shared" si="8"/>
        <v>141.29000000000002</v>
      </c>
      <c r="U41" s="139">
        <f t="shared" si="9"/>
        <v>8597.3989999999958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13953.672999999995</v>
      </c>
      <c r="D42" s="139">
        <v>9.0299999999999994</v>
      </c>
      <c r="E42" s="139">
        <f t="shared" si="0"/>
        <v>9.0299999999999994</v>
      </c>
      <c r="F42" s="139">
        <v>0</v>
      </c>
      <c r="G42" s="139">
        <f t="shared" si="1"/>
        <v>0</v>
      </c>
      <c r="H42" s="139">
        <f t="shared" si="2"/>
        <v>13962.702999999996</v>
      </c>
      <c r="I42" s="139">
        <v>15.62</v>
      </c>
      <c r="J42" s="139">
        <v>0</v>
      </c>
      <c r="K42" s="139">
        <f t="shared" si="3"/>
        <v>0</v>
      </c>
      <c r="L42" s="139">
        <v>0</v>
      </c>
      <c r="M42" s="139">
        <f t="shared" si="4"/>
        <v>0</v>
      </c>
      <c r="N42" s="139">
        <f t="shared" si="5"/>
        <v>15.62</v>
      </c>
      <c r="O42" s="139">
        <v>205.35</v>
      </c>
      <c r="P42" s="139">
        <v>0</v>
      </c>
      <c r="Q42" s="139">
        <f t="shared" si="6"/>
        <v>0</v>
      </c>
      <c r="R42" s="139">
        <v>0</v>
      </c>
      <c r="S42" s="139">
        <f t="shared" si="7"/>
        <v>0</v>
      </c>
      <c r="T42" s="139">
        <f t="shared" si="8"/>
        <v>205.35</v>
      </c>
      <c r="U42" s="139">
        <f t="shared" si="9"/>
        <v>14183.672999999997</v>
      </c>
    </row>
    <row r="43" spans="1:21" ht="38.25" customHeight="1" x14ac:dyDescent="0.35">
      <c r="A43" s="171">
        <v>28</v>
      </c>
      <c r="B43" s="172" t="s">
        <v>112</v>
      </c>
      <c r="C43" s="139">
        <v>4201.9600000000009</v>
      </c>
      <c r="D43" s="139">
        <v>13.98</v>
      </c>
      <c r="E43" s="139">
        <f t="shared" si="0"/>
        <v>13.98</v>
      </c>
      <c r="F43" s="139">
        <v>0</v>
      </c>
      <c r="G43" s="139">
        <f t="shared" si="1"/>
        <v>0</v>
      </c>
      <c r="H43" s="139">
        <f t="shared" si="2"/>
        <v>4215.9400000000005</v>
      </c>
      <c r="I43" s="139">
        <v>3.5</v>
      </c>
      <c r="J43" s="139">
        <v>0</v>
      </c>
      <c r="K43" s="139">
        <f t="shared" si="3"/>
        <v>0</v>
      </c>
      <c r="L43" s="139">
        <v>0</v>
      </c>
      <c r="M43" s="139">
        <f t="shared" si="4"/>
        <v>0</v>
      </c>
      <c r="N43" s="139">
        <f t="shared" si="5"/>
        <v>3.5</v>
      </c>
      <c r="O43" s="139">
        <v>29.8</v>
      </c>
      <c r="P43" s="139">
        <v>0</v>
      </c>
      <c r="Q43" s="139">
        <f t="shared" si="6"/>
        <v>0</v>
      </c>
      <c r="R43" s="139">
        <v>0</v>
      </c>
      <c r="S43" s="139">
        <f t="shared" si="7"/>
        <v>0</v>
      </c>
      <c r="T43" s="139">
        <f t="shared" si="8"/>
        <v>29.8</v>
      </c>
      <c r="U43" s="139">
        <f t="shared" si="9"/>
        <v>4249.2400000000007</v>
      </c>
    </row>
    <row r="44" spans="1:21" s="111" customFormat="1" ht="38.25" customHeight="1" x14ac:dyDescent="0.4">
      <c r="A44" s="240" t="s">
        <v>109</v>
      </c>
      <c r="B44" s="240"/>
      <c r="C44" s="141">
        <f>SUM(C40:C43)</f>
        <v>38460.655999999988</v>
      </c>
      <c r="D44" s="141">
        <f t="shared" ref="D44:U44" si="19">SUM(D40:D43)</f>
        <v>32.049999999999997</v>
      </c>
      <c r="E44" s="141">
        <f t="shared" si="19"/>
        <v>32.049999999999997</v>
      </c>
      <c r="F44" s="141">
        <f t="shared" si="19"/>
        <v>0</v>
      </c>
      <c r="G44" s="141">
        <f t="shared" si="19"/>
        <v>0</v>
      </c>
      <c r="H44" s="141">
        <f t="shared" si="19"/>
        <v>38492.705999999991</v>
      </c>
      <c r="I44" s="141">
        <f t="shared" si="19"/>
        <v>226.51999999999998</v>
      </c>
      <c r="J44" s="141">
        <f t="shared" si="19"/>
        <v>0</v>
      </c>
      <c r="K44" s="141">
        <f t="shared" si="19"/>
        <v>0</v>
      </c>
      <c r="L44" s="141">
        <f t="shared" si="19"/>
        <v>0</v>
      </c>
      <c r="M44" s="141">
        <f t="shared" si="19"/>
        <v>0</v>
      </c>
      <c r="N44" s="141">
        <f t="shared" si="19"/>
        <v>226.51999999999998</v>
      </c>
      <c r="O44" s="141">
        <f t="shared" si="19"/>
        <v>483.37000000000006</v>
      </c>
      <c r="P44" s="141">
        <f t="shared" si="19"/>
        <v>0</v>
      </c>
      <c r="Q44" s="141">
        <f t="shared" si="19"/>
        <v>0</v>
      </c>
      <c r="R44" s="141">
        <f t="shared" si="19"/>
        <v>0</v>
      </c>
      <c r="S44" s="141">
        <f t="shared" si="19"/>
        <v>0</v>
      </c>
      <c r="T44" s="141">
        <f t="shared" si="19"/>
        <v>483.37000000000006</v>
      </c>
      <c r="U44" s="141">
        <f t="shared" si="19"/>
        <v>39202.59599999999</v>
      </c>
    </row>
    <row r="45" spans="1:21" ht="38.25" customHeight="1" x14ac:dyDescent="0.35">
      <c r="A45" s="171">
        <v>29</v>
      </c>
      <c r="B45" s="172" t="s">
        <v>113</v>
      </c>
      <c r="C45" s="139">
        <v>8363.8120999999992</v>
      </c>
      <c r="D45" s="139">
        <f>32.04+0.01</f>
        <v>32.049999999999997</v>
      </c>
      <c r="E45" s="139">
        <f t="shared" si="0"/>
        <v>32.049999999999997</v>
      </c>
      <c r="F45" s="139">
        <v>0</v>
      </c>
      <c r="G45" s="139">
        <f t="shared" si="1"/>
        <v>0</v>
      </c>
      <c r="H45" s="139">
        <f t="shared" si="2"/>
        <v>8395.8620999999985</v>
      </c>
      <c r="I45" s="139">
        <v>261.04999999999995</v>
      </c>
      <c r="J45" s="139">
        <v>0</v>
      </c>
      <c r="K45" s="139">
        <f t="shared" si="3"/>
        <v>0</v>
      </c>
      <c r="L45" s="139">
        <v>0</v>
      </c>
      <c r="M45" s="139">
        <f t="shared" si="4"/>
        <v>0</v>
      </c>
      <c r="N45" s="139">
        <f t="shared" si="5"/>
        <v>261.04999999999995</v>
      </c>
      <c r="O45" s="139">
        <v>84.39</v>
      </c>
      <c r="P45" s="139">
        <v>0.06</v>
      </c>
      <c r="Q45" s="139">
        <f t="shared" si="6"/>
        <v>0.06</v>
      </c>
      <c r="R45" s="139">
        <v>0</v>
      </c>
      <c r="S45" s="139">
        <f t="shared" si="7"/>
        <v>0</v>
      </c>
      <c r="T45" s="139">
        <f t="shared" si="8"/>
        <v>84.45</v>
      </c>
      <c r="U45" s="139">
        <f t="shared" si="9"/>
        <v>8741.3620999999985</v>
      </c>
    </row>
    <row r="46" spans="1:21" ht="38.25" customHeight="1" x14ac:dyDescent="0.35">
      <c r="A46" s="171">
        <v>30</v>
      </c>
      <c r="B46" s="172" t="s">
        <v>114</v>
      </c>
      <c r="C46" s="139">
        <v>7947.2350000000015</v>
      </c>
      <c r="D46" s="139">
        <f>51.7-0.04</f>
        <v>51.660000000000004</v>
      </c>
      <c r="E46" s="139">
        <f t="shared" si="0"/>
        <v>51.660000000000004</v>
      </c>
      <c r="F46" s="139">
        <v>0</v>
      </c>
      <c r="G46" s="139">
        <f t="shared" si="1"/>
        <v>0</v>
      </c>
      <c r="H46" s="139">
        <f t="shared" si="2"/>
        <v>7998.8950000000013</v>
      </c>
      <c r="I46" s="139">
        <v>0</v>
      </c>
      <c r="J46" s="139">
        <v>0</v>
      </c>
      <c r="K46" s="139">
        <f t="shared" si="3"/>
        <v>0</v>
      </c>
      <c r="L46" s="139">
        <v>0</v>
      </c>
      <c r="M46" s="139">
        <f t="shared" si="4"/>
        <v>0</v>
      </c>
      <c r="N46" s="139">
        <f t="shared" si="5"/>
        <v>0</v>
      </c>
      <c r="O46" s="139">
        <v>47.03</v>
      </c>
      <c r="P46" s="139">
        <v>0</v>
      </c>
      <c r="Q46" s="139">
        <f t="shared" si="6"/>
        <v>0</v>
      </c>
      <c r="R46" s="139">
        <v>0</v>
      </c>
      <c r="S46" s="139">
        <f t="shared" si="7"/>
        <v>0</v>
      </c>
      <c r="T46" s="139">
        <f t="shared" si="8"/>
        <v>47.03</v>
      </c>
      <c r="U46" s="139">
        <f t="shared" si="9"/>
        <v>8045.9250000000011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9077.6999999999971</v>
      </c>
      <c r="D47" s="139">
        <v>246.56</v>
      </c>
      <c r="E47" s="139">
        <f t="shared" si="0"/>
        <v>246.56</v>
      </c>
      <c r="F47" s="139">
        <v>0</v>
      </c>
      <c r="G47" s="139">
        <f t="shared" si="1"/>
        <v>0</v>
      </c>
      <c r="H47" s="139">
        <f t="shared" si="2"/>
        <v>9324.2599999999966</v>
      </c>
      <c r="I47" s="139">
        <v>3.13</v>
      </c>
      <c r="J47" s="139">
        <v>0</v>
      </c>
      <c r="K47" s="139">
        <f t="shared" si="3"/>
        <v>0</v>
      </c>
      <c r="L47" s="139">
        <v>0</v>
      </c>
      <c r="M47" s="139">
        <f t="shared" si="4"/>
        <v>0</v>
      </c>
      <c r="N47" s="139">
        <f t="shared" si="5"/>
        <v>3.13</v>
      </c>
      <c r="O47" s="139">
        <v>118.94999999999999</v>
      </c>
      <c r="P47" s="139">
        <v>0</v>
      </c>
      <c r="Q47" s="139">
        <f t="shared" si="6"/>
        <v>0</v>
      </c>
      <c r="R47" s="139">
        <v>0</v>
      </c>
      <c r="S47" s="139">
        <f t="shared" si="7"/>
        <v>0</v>
      </c>
      <c r="T47" s="139">
        <f t="shared" si="8"/>
        <v>118.94999999999999</v>
      </c>
      <c r="U47" s="139">
        <f t="shared" si="9"/>
        <v>9446.3399999999965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8605.9489999999969</v>
      </c>
      <c r="D48" s="139">
        <v>32.18</v>
      </c>
      <c r="E48" s="139">
        <f t="shared" si="0"/>
        <v>32.18</v>
      </c>
      <c r="F48" s="139">
        <v>0</v>
      </c>
      <c r="G48" s="139">
        <f t="shared" si="1"/>
        <v>0</v>
      </c>
      <c r="H48" s="139">
        <f t="shared" si="2"/>
        <v>8638.1289999999972</v>
      </c>
      <c r="I48" s="139">
        <v>5.0249999999999995</v>
      </c>
      <c r="J48" s="139">
        <v>0</v>
      </c>
      <c r="K48" s="139">
        <f t="shared" si="3"/>
        <v>0</v>
      </c>
      <c r="L48" s="139">
        <v>0</v>
      </c>
      <c r="M48" s="139">
        <f t="shared" si="4"/>
        <v>0</v>
      </c>
      <c r="N48" s="139">
        <f t="shared" si="5"/>
        <v>5.0249999999999995</v>
      </c>
      <c r="O48" s="139">
        <v>4.21</v>
      </c>
      <c r="P48" s="139">
        <v>0</v>
      </c>
      <c r="Q48" s="139">
        <f t="shared" si="6"/>
        <v>0</v>
      </c>
      <c r="R48" s="139">
        <v>0</v>
      </c>
      <c r="S48" s="139">
        <f t="shared" si="7"/>
        <v>0</v>
      </c>
      <c r="T48" s="139">
        <f t="shared" si="8"/>
        <v>4.21</v>
      </c>
      <c r="U48" s="139">
        <f t="shared" si="9"/>
        <v>8647.3639999999959</v>
      </c>
    </row>
    <row r="49" spans="1:21" s="111" customFormat="1" ht="38.25" customHeight="1" x14ac:dyDescent="0.4">
      <c r="A49" s="240" t="s">
        <v>117</v>
      </c>
      <c r="B49" s="240"/>
      <c r="C49" s="141">
        <f>SUM(C45:C48)</f>
        <v>33994.696099999994</v>
      </c>
      <c r="D49" s="141">
        <f t="shared" ref="D49:U49" si="20">SUM(D45:D48)</f>
        <v>362.45</v>
      </c>
      <c r="E49" s="141">
        <f t="shared" si="20"/>
        <v>362.45</v>
      </c>
      <c r="F49" s="141">
        <f t="shared" si="20"/>
        <v>0</v>
      </c>
      <c r="G49" s="141">
        <f t="shared" si="20"/>
        <v>0</v>
      </c>
      <c r="H49" s="141">
        <f t="shared" si="20"/>
        <v>34357.146099999998</v>
      </c>
      <c r="I49" s="141">
        <f t="shared" si="20"/>
        <v>269.20499999999993</v>
      </c>
      <c r="J49" s="141">
        <f t="shared" si="20"/>
        <v>0</v>
      </c>
      <c r="K49" s="141">
        <f t="shared" si="20"/>
        <v>0</v>
      </c>
      <c r="L49" s="141">
        <f t="shared" si="20"/>
        <v>0</v>
      </c>
      <c r="M49" s="141">
        <f t="shared" si="20"/>
        <v>0</v>
      </c>
      <c r="N49" s="141">
        <f t="shared" si="20"/>
        <v>269.20499999999993</v>
      </c>
      <c r="O49" s="141">
        <f t="shared" si="20"/>
        <v>254.58</v>
      </c>
      <c r="P49" s="141">
        <f t="shared" si="20"/>
        <v>0.06</v>
      </c>
      <c r="Q49" s="141">
        <f t="shared" si="20"/>
        <v>0.06</v>
      </c>
      <c r="R49" s="141">
        <f t="shared" si="20"/>
        <v>0</v>
      </c>
      <c r="S49" s="141">
        <f t="shared" si="20"/>
        <v>0</v>
      </c>
      <c r="T49" s="141">
        <f t="shared" si="20"/>
        <v>254.64000000000001</v>
      </c>
      <c r="U49" s="141">
        <f t="shared" si="20"/>
        <v>34880.991099999992</v>
      </c>
    </row>
    <row r="50" spans="1:21" s="145" customFormat="1" ht="38.25" customHeight="1" x14ac:dyDescent="0.4">
      <c r="A50" s="243" t="s">
        <v>118</v>
      </c>
      <c r="B50" s="243"/>
      <c r="C50" s="141">
        <f>C49+C44</f>
        <v>72455.352099999989</v>
      </c>
      <c r="D50" s="141">
        <f t="shared" ref="D50:U50" si="21">D49+D44</f>
        <v>394.5</v>
      </c>
      <c r="E50" s="141">
        <f t="shared" si="21"/>
        <v>394.5</v>
      </c>
      <c r="F50" s="141">
        <f t="shared" si="21"/>
        <v>0</v>
      </c>
      <c r="G50" s="141">
        <f t="shared" si="21"/>
        <v>0</v>
      </c>
      <c r="H50" s="141">
        <f t="shared" si="21"/>
        <v>72849.852099999989</v>
      </c>
      <c r="I50" s="141">
        <f t="shared" si="21"/>
        <v>495.72499999999991</v>
      </c>
      <c r="J50" s="141">
        <f t="shared" si="21"/>
        <v>0</v>
      </c>
      <c r="K50" s="141">
        <f t="shared" si="21"/>
        <v>0</v>
      </c>
      <c r="L50" s="141">
        <f t="shared" si="21"/>
        <v>0</v>
      </c>
      <c r="M50" s="141">
        <f t="shared" si="21"/>
        <v>0</v>
      </c>
      <c r="N50" s="141">
        <f t="shared" si="21"/>
        <v>495.72499999999991</v>
      </c>
      <c r="O50" s="141">
        <f t="shared" si="21"/>
        <v>737.95</v>
      </c>
      <c r="P50" s="141">
        <f t="shared" si="21"/>
        <v>0.06</v>
      </c>
      <c r="Q50" s="141">
        <f t="shared" si="21"/>
        <v>0.06</v>
      </c>
      <c r="R50" s="141">
        <f t="shared" si="21"/>
        <v>0</v>
      </c>
      <c r="S50" s="141">
        <f t="shared" si="21"/>
        <v>0</v>
      </c>
      <c r="T50" s="141">
        <f t="shared" si="21"/>
        <v>738.0100000000001</v>
      </c>
      <c r="U50" s="141">
        <f t="shared" si="21"/>
        <v>74083.587099999975</v>
      </c>
    </row>
    <row r="51" spans="1:21" s="146" customFormat="1" ht="38.25" customHeight="1" x14ac:dyDescent="0.4">
      <c r="A51" s="237" t="s">
        <v>119</v>
      </c>
      <c r="B51" s="237"/>
      <c r="C51" s="141">
        <f>C50+C39+C25</f>
        <v>119436.11889999999</v>
      </c>
      <c r="D51" s="141">
        <f t="shared" ref="D51:U51" si="22">D50+D39+D25</f>
        <v>586</v>
      </c>
      <c r="E51" s="141">
        <f t="shared" si="22"/>
        <v>586</v>
      </c>
      <c r="F51" s="141">
        <f t="shared" si="22"/>
        <v>14.030000000000001</v>
      </c>
      <c r="G51" s="141">
        <f t="shared" si="22"/>
        <v>14.030000000000001</v>
      </c>
      <c r="H51" s="141">
        <f t="shared" si="22"/>
        <v>120008.08889999999</v>
      </c>
      <c r="I51" s="141">
        <f t="shared" si="22"/>
        <v>10908.886</v>
      </c>
      <c r="J51" s="141">
        <f t="shared" si="22"/>
        <v>42.163999999999994</v>
      </c>
      <c r="K51" s="141">
        <f t="shared" si="22"/>
        <v>42.163999999999994</v>
      </c>
      <c r="L51" s="141">
        <f t="shared" si="22"/>
        <v>0.06</v>
      </c>
      <c r="M51" s="141">
        <f t="shared" si="22"/>
        <v>0.06</v>
      </c>
      <c r="N51" s="141">
        <f t="shared" si="22"/>
        <v>10950.99</v>
      </c>
      <c r="O51" s="141">
        <f t="shared" si="22"/>
        <v>1677.24</v>
      </c>
      <c r="P51" s="141">
        <f t="shared" si="22"/>
        <v>0.09</v>
      </c>
      <c r="Q51" s="141">
        <f t="shared" si="22"/>
        <v>0.09</v>
      </c>
      <c r="R51" s="141">
        <f t="shared" si="22"/>
        <v>0</v>
      </c>
      <c r="S51" s="141">
        <f t="shared" si="22"/>
        <v>0</v>
      </c>
      <c r="T51" s="141">
        <f t="shared" si="22"/>
        <v>1677.3300000000002</v>
      </c>
      <c r="U51" s="141">
        <f t="shared" si="22"/>
        <v>132636.40889999998</v>
      </c>
    </row>
    <row r="52" spans="1:21" s="111" customFormat="1" ht="24" customHeight="1" x14ac:dyDescent="0.4">
      <c r="A52" s="115"/>
      <c r="B52" s="115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</row>
    <row r="53" spans="1:21" s="111" customFormat="1" ht="19.5" customHeight="1" x14ac:dyDescent="0.4">
      <c r="A53" s="115"/>
      <c r="B53" s="115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</row>
    <row r="54" spans="1:21" s="115" customFormat="1" ht="24.75" hidden="1" customHeight="1" x14ac:dyDescent="0.4">
      <c r="B54" s="174"/>
      <c r="C54" s="189" t="s">
        <v>54</v>
      </c>
      <c r="D54" s="189"/>
      <c r="E54" s="189"/>
      <c r="F54" s="189"/>
      <c r="G54" s="189"/>
      <c r="H54" s="118"/>
      <c r="I54" s="174"/>
      <c r="J54" s="174">
        <f>D51+J51+P51-F51-L51-R51</f>
        <v>614.1640000000001</v>
      </c>
      <c r="K54" s="174"/>
      <c r="L54" s="174"/>
      <c r="M54" s="174"/>
      <c r="N54" s="174"/>
      <c r="R54" s="174"/>
      <c r="U54" s="174"/>
    </row>
    <row r="55" spans="1:21" s="115" customFormat="1" ht="30" hidden="1" customHeight="1" x14ac:dyDescent="0.35">
      <c r="B55" s="174"/>
      <c r="C55" s="189" t="s">
        <v>55</v>
      </c>
      <c r="D55" s="189"/>
      <c r="E55" s="189"/>
      <c r="F55" s="189"/>
      <c r="G55" s="189"/>
      <c r="H55" s="119"/>
      <c r="I55" s="174"/>
      <c r="J55" s="174">
        <f>E51+K51+Q51-G51-M51-S51</f>
        <v>614.1640000000001</v>
      </c>
      <c r="K55" s="174"/>
      <c r="L55" s="174"/>
      <c r="M55" s="174"/>
      <c r="N55" s="174"/>
      <c r="R55" s="174"/>
      <c r="T55" s="174"/>
    </row>
    <row r="56" spans="1:21" ht="33" hidden="1" customHeight="1" x14ac:dyDescent="0.5">
      <c r="C56" s="189" t="s">
        <v>56</v>
      </c>
      <c r="D56" s="189"/>
      <c r="E56" s="189"/>
      <c r="F56" s="189"/>
      <c r="G56" s="189"/>
      <c r="H56" s="119"/>
      <c r="I56" s="121"/>
      <c r="J56" s="174">
        <f>H51+N51+T51</f>
        <v>132636.40889999998</v>
      </c>
      <c r="K56" s="119"/>
      <c r="L56" s="119"/>
      <c r="M56" s="142" t="e">
        <f>#REF!+'Sep-2023'!J54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74"/>
      <c r="E57" s="174"/>
      <c r="F57" s="174"/>
      <c r="G57" s="174"/>
      <c r="H57" s="119"/>
      <c r="I57" s="121"/>
      <c r="J57" s="174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74"/>
      <c r="E58" s="174"/>
      <c r="F58" s="174"/>
      <c r="G58" s="174"/>
      <c r="H58" s="119"/>
      <c r="I58" s="121"/>
      <c r="J58" s="174"/>
      <c r="K58" s="119"/>
      <c r="L58" s="119"/>
      <c r="M58" s="142" t="e">
        <f>#REF!+'Sep-2023'!J54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32" t="s">
        <v>57</v>
      </c>
      <c r="C59" s="232"/>
      <c r="D59" s="232"/>
      <c r="E59" s="232"/>
      <c r="F59" s="232"/>
      <c r="G59" s="153"/>
      <c r="H59" s="154"/>
      <c r="I59" s="155"/>
      <c r="J59" s="234"/>
      <c r="K59" s="233"/>
      <c r="L59" s="233"/>
      <c r="M59" s="169" t="e">
        <f>#REF!+'Sep-2023'!J54</f>
        <v>#REF!</v>
      </c>
      <c r="N59" s="154"/>
      <c r="O59" s="154"/>
      <c r="P59" s="177"/>
      <c r="Q59" s="232" t="s">
        <v>58</v>
      </c>
      <c r="R59" s="232"/>
      <c r="S59" s="232"/>
      <c r="T59" s="232"/>
      <c r="U59" s="232"/>
    </row>
    <row r="60" spans="1:21" s="152" customFormat="1" ht="37.5" hidden="1" customHeight="1" x14ac:dyDescent="0.45">
      <c r="B60" s="232" t="s">
        <v>59</v>
      </c>
      <c r="C60" s="232"/>
      <c r="D60" s="232"/>
      <c r="E60" s="232"/>
      <c r="F60" s="232"/>
      <c r="G60" s="154"/>
      <c r="H60" s="153"/>
      <c r="I60" s="156"/>
      <c r="J60" s="157"/>
      <c r="K60" s="176"/>
      <c r="L60" s="157"/>
      <c r="M60" s="154"/>
      <c r="N60" s="153"/>
      <c r="O60" s="154"/>
      <c r="P60" s="177"/>
      <c r="Q60" s="232" t="s">
        <v>59</v>
      </c>
      <c r="R60" s="232"/>
      <c r="S60" s="232"/>
      <c r="T60" s="232"/>
      <c r="U60" s="232"/>
    </row>
    <row r="61" spans="1:21" s="152" customFormat="1" ht="37.5" hidden="1" customHeight="1" x14ac:dyDescent="0.45">
      <c r="I61" s="158"/>
      <c r="J61" s="233" t="s">
        <v>61</v>
      </c>
      <c r="K61" s="233"/>
      <c r="L61" s="233"/>
      <c r="M61" s="159" t="e">
        <f>#REF!+'Sep-2023'!J54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#REF!+'Sep-2023'!J54</f>
        <v>#REF!</v>
      </c>
      <c r="I62" s="158"/>
      <c r="J62" s="233" t="s">
        <v>62</v>
      </c>
      <c r="K62" s="233"/>
      <c r="L62" s="233"/>
      <c r="M62" s="159" t="e">
        <f>#REF!+'Sep-2023'!J54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R5:S5"/>
    <mergeCell ref="T5:T6"/>
    <mergeCell ref="I5:I6"/>
    <mergeCell ref="J5:K5"/>
    <mergeCell ref="L5:M5"/>
    <mergeCell ref="N5:N6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1:B11"/>
    <mergeCell ref="F5:G5"/>
    <mergeCell ref="H5:H6"/>
    <mergeCell ref="B60:F60"/>
    <mergeCell ref="Q60:U60"/>
    <mergeCell ref="J61:L61"/>
    <mergeCell ref="J62:L62"/>
    <mergeCell ref="C54:G54"/>
    <mergeCell ref="C55:G55"/>
    <mergeCell ref="C56:G56"/>
    <mergeCell ref="B59:F59"/>
    <mergeCell ref="J59:L59"/>
    <mergeCell ref="Q59:U5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zoomScale="40" zoomScaleNormal="40" workbookViewId="0">
      <selection activeCell="G7" sqref="G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3" width="25.42578125" style="107" customWidth="1"/>
    <col min="14" max="14" width="28" style="107" bestFit="1" customWidth="1"/>
    <col min="15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.5703125" style="123" bestFit="1" customWidth="1"/>
    <col min="22" max="16384" width="9.140625" style="107"/>
  </cols>
  <sheetData>
    <row r="1" spans="1:21" ht="78" customHeight="1" x14ac:dyDescent="0.35">
      <c r="A1" s="246" t="s">
        <v>123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</row>
    <row r="2" spans="1:21" ht="54" customHeight="1" x14ac:dyDescent="0.35">
      <c r="A2" s="248" t="s">
        <v>135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1" ht="32.25" customHeight="1" x14ac:dyDescent="0.35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</row>
    <row r="4" spans="1:21" s="108" customFormat="1" ht="43.5" customHeight="1" x14ac:dyDescent="0.25">
      <c r="A4" s="250" t="s">
        <v>122</v>
      </c>
      <c r="B4" s="235" t="s">
        <v>121</v>
      </c>
      <c r="C4" s="192" t="s">
        <v>131</v>
      </c>
      <c r="D4" s="193"/>
      <c r="E4" s="193"/>
      <c r="F4" s="193"/>
      <c r="G4" s="193"/>
      <c r="H4" s="193"/>
      <c r="I4" s="192" t="s">
        <v>130</v>
      </c>
      <c r="J4" s="193"/>
      <c r="K4" s="193"/>
      <c r="L4" s="193"/>
      <c r="M4" s="193"/>
      <c r="N4" s="193"/>
      <c r="O4" s="192" t="s">
        <v>129</v>
      </c>
      <c r="P4" s="193"/>
      <c r="Q4" s="193"/>
      <c r="R4" s="193"/>
      <c r="S4" s="193"/>
      <c r="T4" s="193"/>
      <c r="U4" s="175"/>
    </row>
    <row r="5" spans="1:21" s="108" customFormat="1" ht="54.75" customHeight="1" x14ac:dyDescent="0.25">
      <c r="A5" s="252"/>
      <c r="B5" s="253"/>
      <c r="C5" s="244" t="s">
        <v>6</v>
      </c>
      <c r="D5" s="238" t="s">
        <v>127</v>
      </c>
      <c r="E5" s="239"/>
      <c r="F5" s="238" t="s">
        <v>126</v>
      </c>
      <c r="G5" s="239"/>
      <c r="H5" s="244" t="s">
        <v>9</v>
      </c>
      <c r="I5" s="244" t="s">
        <v>6</v>
      </c>
      <c r="J5" s="238" t="s">
        <v>127</v>
      </c>
      <c r="K5" s="239"/>
      <c r="L5" s="238" t="s">
        <v>126</v>
      </c>
      <c r="M5" s="239"/>
      <c r="N5" s="244" t="s">
        <v>9</v>
      </c>
      <c r="O5" s="244" t="s">
        <v>6</v>
      </c>
      <c r="P5" s="238" t="s">
        <v>127</v>
      </c>
      <c r="Q5" s="239"/>
      <c r="R5" s="238" t="s">
        <v>126</v>
      </c>
      <c r="S5" s="239"/>
      <c r="T5" s="244" t="s">
        <v>9</v>
      </c>
      <c r="U5" s="235" t="s">
        <v>128</v>
      </c>
    </row>
    <row r="6" spans="1:21" s="108" customFormat="1" ht="38.25" customHeight="1" x14ac:dyDescent="0.25">
      <c r="A6" s="252"/>
      <c r="B6" s="236"/>
      <c r="C6" s="245"/>
      <c r="D6" s="172" t="s">
        <v>124</v>
      </c>
      <c r="E6" s="172" t="s">
        <v>125</v>
      </c>
      <c r="F6" s="172" t="s">
        <v>124</v>
      </c>
      <c r="G6" s="172" t="s">
        <v>125</v>
      </c>
      <c r="H6" s="245"/>
      <c r="I6" s="245"/>
      <c r="J6" s="172" t="s">
        <v>124</v>
      </c>
      <c r="K6" s="172" t="s">
        <v>125</v>
      </c>
      <c r="L6" s="172" t="s">
        <v>124</v>
      </c>
      <c r="M6" s="172" t="s">
        <v>125</v>
      </c>
      <c r="N6" s="245"/>
      <c r="O6" s="245"/>
      <c r="P6" s="172" t="s">
        <v>124</v>
      </c>
      <c r="Q6" s="172" t="s">
        <v>125</v>
      </c>
      <c r="R6" s="172" t="s">
        <v>124</v>
      </c>
      <c r="S6" s="172" t="s">
        <v>125</v>
      </c>
      <c r="T6" s="245"/>
      <c r="U6" s="236"/>
    </row>
    <row r="7" spans="1:21" ht="38.25" customHeight="1" x14ac:dyDescent="0.35">
      <c r="A7" s="171">
        <v>1</v>
      </c>
      <c r="B7" s="172" t="s">
        <v>78</v>
      </c>
      <c r="C7" s="139">
        <v>7.179999999999982</v>
      </c>
      <c r="D7" s="139">
        <v>0</v>
      </c>
      <c r="E7" s="139">
        <f>'[5]April 2023'!E7+'[5]May 23'!D7</f>
        <v>0</v>
      </c>
      <c r="F7" s="139">
        <v>0</v>
      </c>
      <c r="G7" s="139">
        <f>'[5]April 2023'!G7+'[5]May 23'!F7</f>
        <v>0</v>
      </c>
      <c r="H7" s="139">
        <f>C7+D7-F7</f>
        <v>7.179999999999982</v>
      </c>
      <c r="I7" s="139">
        <v>717.74199999999973</v>
      </c>
      <c r="J7" s="139">
        <v>2.08</v>
      </c>
      <c r="K7" s="139">
        <f>'[5]April 2023'!K7+'[5]May 23'!J7</f>
        <v>5.3650000000000002</v>
      </c>
      <c r="L7" s="139">
        <v>0</v>
      </c>
      <c r="M7" s="139">
        <f>'[5]April 2023'!M7+'[5]May 23'!L7</f>
        <v>0</v>
      </c>
      <c r="N7" s="139">
        <f>I7+J7-L7</f>
        <v>719.82199999999978</v>
      </c>
      <c r="O7" s="139">
        <v>8.436000000000007</v>
      </c>
      <c r="P7" s="139">
        <v>0</v>
      </c>
      <c r="Q7" s="139">
        <f>'[5]April 2023'!Q7+'[5]May 23'!P7</f>
        <v>0</v>
      </c>
      <c r="R7" s="139">
        <v>0</v>
      </c>
      <c r="S7" s="139">
        <f>'[5]April 2023'!S7+'[5]May 23'!R7</f>
        <v>0</v>
      </c>
      <c r="T7" s="139">
        <f>O7+P7-R7</f>
        <v>8.436000000000007</v>
      </c>
      <c r="U7" s="139">
        <f>H7+N7+T7</f>
        <v>735.43799999999976</v>
      </c>
    </row>
    <row r="8" spans="1:21" ht="38.25" customHeight="1" x14ac:dyDescent="0.35">
      <c r="A8" s="171">
        <v>2</v>
      </c>
      <c r="B8" s="172" t="s">
        <v>79</v>
      </c>
      <c r="C8" s="139">
        <v>265.98999999999995</v>
      </c>
      <c r="D8" s="139">
        <v>0</v>
      </c>
      <c r="E8" s="139">
        <f>'[5]April 2023'!E8+'[5]May 23'!D8</f>
        <v>0</v>
      </c>
      <c r="F8" s="139">
        <v>0</v>
      </c>
      <c r="G8" s="139">
        <f>'[5]April 2023'!G8+'[5]May 23'!F8</f>
        <v>0</v>
      </c>
      <c r="H8" s="139">
        <f t="shared" ref="H8:H48" si="0">C8+D8-F8</f>
        <v>265.98999999999995</v>
      </c>
      <c r="I8" s="139">
        <v>402.25100000000009</v>
      </c>
      <c r="J8" s="139">
        <f>22.92+0.01</f>
        <v>22.930000000000003</v>
      </c>
      <c r="K8" s="139">
        <f>'[5]April 2023'!K8+'[5]May 23'!J8</f>
        <v>27.035000000000004</v>
      </c>
      <c r="L8" s="139">
        <v>0</v>
      </c>
      <c r="M8" s="139">
        <f>'[5]April 2023'!M8+'[5]May 23'!L8</f>
        <v>0</v>
      </c>
      <c r="N8" s="139">
        <f t="shared" ref="N8:N48" si="1">I8+J8-L8</f>
        <v>425.1810000000001</v>
      </c>
      <c r="O8" s="139">
        <v>66.290000000000006</v>
      </c>
      <c r="P8" s="139">
        <v>0</v>
      </c>
      <c r="Q8" s="139">
        <f>'[5]April 2023'!Q8+'[5]May 23'!P8</f>
        <v>0</v>
      </c>
      <c r="R8" s="139">
        <v>0</v>
      </c>
      <c r="S8" s="139">
        <f>'[5]April 2023'!S8+'[5]May 23'!R8</f>
        <v>0</v>
      </c>
      <c r="T8" s="139">
        <f t="shared" ref="T8:T48" si="2">O8+P8-R8</f>
        <v>66.290000000000006</v>
      </c>
      <c r="U8" s="139">
        <f t="shared" ref="U8:U48" si="3">H8+N8+T8</f>
        <v>757.46100000000001</v>
      </c>
    </row>
    <row r="9" spans="1:21" ht="38.25" customHeight="1" x14ac:dyDescent="0.35">
      <c r="A9" s="171">
        <v>3</v>
      </c>
      <c r="B9" s="172" t="s">
        <v>80</v>
      </c>
      <c r="C9" s="139">
        <v>209.16</v>
      </c>
      <c r="D9" s="139">
        <v>0</v>
      </c>
      <c r="E9" s="139">
        <f>'[5]April 2023'!E9+'[5]May 23'!D9</f>
        <v>0</v>
      </c>
      <c r="F9" s="139">
        <v>0</v>
      </c>
      <c r="G9" s="139">
        <f>'[5]April 2023'!G9+'[5]May 23'!F9</f>
        <v>0</v>
      </c>
      <c r="H9" s="139">
        <f t="shared" si="0"/>
        <v>209.16</v>
      </c>
      <c r="I9" s="139">
        <v>908.80799999999999</v>
      </c>
      <c r="J9" s="139">
        <f>5.82-0.01</f>
        <v>5.8100000000000005</v>
      </c>
      <c r="K9" s="139">
        <f>'[5]April 2023'!K9+'[5]May 23'!J9</f>
        <v>11.370000000000001</v>
      </c>
      <c r="L9" s="139">
        <v>0</v>
      </c>
      <c r="M9" s="139">
        <f>'[5]April 2023'!M9+'[5]May 23'!L9</f>
        <v>0</v>
      </c>
      <c r="N9" s="139">
        <f t="shared" si="1"/>
        <v>914.61799999999994</v>
      </c>
      <c r="O9" s="139">
        <v>44.739999999999995</v>
      </c>
      <c r="P9" s="139">
        <v>0</v>
      </c>
      <c r="Q9" s="139">
        <f>'[5]April 2023'!Q9+'[5]May 23'!P9</f>
        <v>0</v>
      </c>
      <c r="R9" s="139">
        <v>0</v>
      </c>
      <c r="S9" s="139">
        <f>'[5]April 2023'!S9+'[5]May 23'!R9</f>
        <v>0</v>
      </c>
      <c r="T9" s="139">
        <f t="shared" si="2"/>
        <v>44.739999999999995</v>
      </c>
      <c r="U9" s="139">
        <f t="shared" si="3"/>
        <v>1168.518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0</v>
      </c>
      <c r="D10" s="139">
        <v>0</v>
      </c>
      <c r="E10" s="139">
        <f>'[5]April 2023'!E10+'[5]May 23'!D10</f>
        <v>0</v>
      </c>
      <c r="F10" s="139">
        <v>0</v>
      </c>
      <c r="G10" s="139">
        <f>'[5]April 2023'!G10+'[5]May 23'!F10</f>
        <v>0</v>
      </c>
      <c r="H10" s="139">
        <f t="shared" si="0"/>
        <v>0</v>
      </c>
      <c r="I10" s="139">
        <v>366.0689999999999</v>
      </c>
      <c r="J10" s="139">
        <f>0.642+0.01</f>
        <v>0.65200000000000002</v>
      </c>
      <c r="K10" s="139">
        <f>'[5]April 2023'!K10+'[5]May 23'!J10</f>
        <v>1.7480000000000002</v>
      </c>
      <c r="L10" s="139">
        <v>0</v>
      </c>
      <c r="M10" s="139">
        <f>'[5]April 2023'!M10+'[5]May 23'!L10</f>
        <v>0</v>
      </c>
      <c r="N10" s="139">
        <f t="shared" si="1"/>
        <v>366.72099999999989</v>
      </c>
      <c r="O10" s="139">
        <v>0.20000000000000007</v>
      </c>
      <c r="P10" s="139">
        <v>0</v>
      </c>
      <c r="Q10" s="139">
        <f>'[5]April 2023'!Q10+'[5]May 23'!P10</f>
        <v>0</v>
      </c>
      <c r="R10" s="139">
        <v>0</v>
      </c>
      <c r="S10" s="139">
        <f>'[5]April 2023'!S10+'[5]May 23'!R10</f>
        <v>0</v>
      </c>
      <c r="T10" s="139">
        <f t="shared" si="2"/>
        <v>0.20000000000000007</v>
      </c>
      <c r="U10" s="139">
        <f t="shared" si="3"/>
        <v>366.92099999999988</v>
      </c>
    </row>
    <row r="11" spans="1:21" s="111" customFormat="1" ht="38.25" customHeight="1" x14ac:dyDescent="0.4">
      <c r="A11" s="238" t="s">
        <v>82</v>
      </c>
      <c r="B11" s="239"/>
      <c r="C11" s="141">
        <f>SUM(C7:C10)</f>
        <v>482.32999999999993</v>
      </c>
      <c r="D11" s="141">
        <f t="shared" ref="D11:U11" si="4">SUM(D7:D10)</f>
        <v>0</v>
      </c>
      <c r="E11" s="141">
        <f t="shared" si="4"/>
        <v>0</v>
      </c>
      <c r="F11" s="141">
        <f t="shared" si="4"/>
        <v>0</v>
      </c>
      <c r="G11" s="141">
        <f t="shared" si="4"/>
        <v>0</v>
      </c>
      <c r="H11" s="141">
        <f t="shared" si="4"/>
        <v>482.32999999999993</v>
      </c>
      <c r="I11" s="141">
        <f t="shared" si="4"/>
        <v>2394.87</v>
      </c>
      <c r="J11" s="141">
        <f t="shared" si="4"/>
        <v>31.472000000000008</v>
      </c>
      <c r="K11" s="141">
        <f t="shared" si="4"/>
        <v>45.518000000000008</v>
      </c>
      <c r="L11" s="141">
        <f t="shared" si="4"/>
        <v>0</v>
      </c>
      <c r="M11" s="141">
        <f t="shared" si="4"/>
        <v>0</v>
      </c>
      <c r="N11" s="141">
        <f t="shared" si="4"/>
        <v>2426.3420000000001</v>
      </c>
      <c r="O11" s="141">
        <f t="shared" si="4"/>
        <v>119.66600000000001</v>
      </c>
      <c r="P11" s="141">
        <f t="shared" si="4"/>
        <v>0</v>
      </c>
      <c r="Q11" s="141">
        <f t="shared" si="4"/>
        <v>0</v>
      </c>
      <c r="R11" s="141">
        <f t="shared" si="4"/>
        <v>0</v>
      </c>
      <c r="S11" s="141">
        <f t="shared" si="4"/>
        <v>0</v>
      </c>
      <c r="T11" s="141">
        <f t="shared" si="4"/>
        <v>119.66600000000001</v>
      </c>
      <c r="U11" s="141">
        <f t="shared" si="4"/>
        <v>3028.3379999999997</v>
      </c>
    </row>
    <row r="12" spans="1:21" ht="38.25" customHeight="1" x14ac:dyDescent="0.35">
      <c r="A12" s="171">
        <v>4</v>
      </c>
      <c r="B12" s="172" t="s">
        <v>83</v>
      </c>
      <c r="C12" s="139">
        <v>22.179999999999609</v>
      </c>
      <c r="D12" s="139">
        <v>0</v>
      </c>
      <c r="E12" s="139">
        <f>'[5]April 2023'!E12+'[5]May 23'!D12</f>
        <v>0</v>
      </c>
      <c r="F12" s="139">
        <v>0</v>
      </c>
      <c r="G12" s="139">
        <f>'[5]April 2023'!G12+'[5]May 23'!F12</f>
        <v>0</v>
      </c>
      <c r="H12" s="139">
        <f t="shared" si="0"/>
        <v>22.179999999999609</v>
      </c>
      <c r="I12" s="139">
        <v>1278.8449999999998</v>
      </c>
      <c r="J12" s="182">
        <v>5.41</v>
      </c>
      <c r="K12" s="139">
        <f>'[5]April 2023'!K12+'[5]May 23'!J12</f>
        <v>7.82</v>
      </c>
      <c r="L12" s="139">
        <v>0</v>
      </c>
      <c r="M12" s="139">
        <f>'[5]April 2023'!M12+'[5]May 23'!L12</f>
        <v>0</v>
      </c>
      <c r="N12" s="139">
        <f t="shared" si="1"/>
        <v>1284.2549999999999</v>
      </c>
      <c r="O12" s="139">
        <v>1.9700000000000095</v>
      </c>
      <c r="P12" s="139">
        <v>0</v>
      </c>
      <c r="Q12" s="139">
        <f>'[5]April 2023'!Q12+'[5]May 23'!P12</f>
        <v>0</v>
      </c>
      <c r="R12" s="139">
        <v>0</v>
      </c>
      <c r="S12" s="139">
        <f>'[5]April 2023'!S12+'[5]May 23'!R12</f>
        <v>0</v>
      </c>
      <c r="T12" s="139">
        <f t="shared" si="2"/>
        <v>1.9700000000000095</v>
      </c>
      <c r="U12" s="139">
        <f t="shared" si="3"/>
        <v>1308.4049999999995</v>
      </c>
    </row>
    <row r="13" spans="1:21" ht="38.25" customHeight="1" x14ac:dyDescent="0.35">
      <c r="A13" s="171">
        <v>5</v>
      </c>
      <c r="B13" s="172" t="s">
        <v>84</v>
      </c>
      <c r="C13" s="139">
        <v>312.23000000000013</v>
      </c>
      <c r="D13" s="139">
        <v>0</v>
      </c>
      <c r="E13" s="139">
        <f>'[5]April 2023'!E13+'[5]May 23'!D13</f>
        <v>0</v>
      </c>
      <c r="F13" s="139">
        <v>0</v>
      </c>
      <c r="G13" s="139">
        <f>'[5]April 2023'!G13+'[5]May 23'!F13</f>
        <v>0</v>
      </c>
      <c r="H13" s="139">
        <f t="shared" si="0"/>
        <v>312.23000000000013</v>
      </c>
      <c r="I13" s="139">
        <v>547.38200000000018</v>
      </c>
      <c r="J13" s="182">
        <v>2.3199999999999998</v>
      </c>
      <c r="K13" s="139">
        <f>'[5]April 2023'!K13+'[5]May 23'!J13</f>
        <v>4.17</v>
      </c>
      <c r="L13" s="139">
        <v>0</v>
      </c>
      <c r="M13" s="139">
        <f>'[5]April 2023'!M13+'[5]May 23'!L13</f>
        <v>0</v>
      </c>
      <c r="N13" s="139">
        <f t="shared" si="1"/>
        <v>549.70200000000023</v>
      </c>
      <c r="O13" s="139">
        <v>68.39</v>
      </c>
      <c r="P13" s="139">
        <v>0</v>
      </c>
      <c r="Q13" s="139">
        <f>'[5]April 2023'!Q13+'[5]May 23'!P13</f>
        <v>0</v>
      </c>
      <c r="R13" s="139">
        <v>0</v>
      </c>
      <c r="S13" s="139">
        <f>'[5]April 2023'!S13+'[5]May 23'!R13</f>
        <v>0</v>
      </c>
      <c r="T13" s="139">
        <f t="shared" si="2"/>
        <v>68.39</v>
      </c>
      <c r="U13" s="139">
        <f t="shared" si="3"/>
        <v>930.32200000000034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1216.4399999999994</v>
      </c>
      <c r="D14" s="139">
        <v>0</v>
      </c>
      <c r="E14" s="139">
        <f>'[5]April 2023'!E14+'[5]May 23'!D14</f>
        <v>0</v>
      </c>
      <c r="F14" s="139">
        <v>0</v>
      </c>
      <c r="G14" s="139">
        <f>'[5]April 2023'!G14+'[5]May 23'!F14</f>
        <v>0</v>
      </c>
      <c r="H14" s="139">
        <f t="shared" si="0"/>
        <v>1216.4399999999994</v>
      </c>
      <c r="I14" s="139">
        <v>913.10800000000029</v>
      </c>
      <c r="J14" s="182">
        <v>3.44</v>
      </c>
      <c r="K14" s="139">
        <f>'[5]April 2023'!K14+'[5]May 23'!J14</f>
        <v>13.049999999999999</v>
      </c>
      <c r="L14" s="139">
        <v>0</v>
      </c>
      <c r="M14" s="139">
        <f>'[5]April 2023'!M14+'[5]May 23'!L14</f>
        <v>0</v>
      </c>
      <c r="N14" s="139">
        <f t="shared" si="1"/>
        <v>916.54800000000034</v>
      </c>
      <c r="O14" s="139">
        <v>61.329999999999991</v>
      </c>
      <c r="P14" s="139">
        <v>0</v>
      </c>
      <c r="Q14" s="139">
        <f>'[5]April 2023'!Q14+'[5]May 23'!P14</f>
        <v>0</v>
      </c>
      <c r="R14" s="139">
        <v>0</v>
      </c>
      <c r="S14" s="139">
        <f>'[5]April 2023'!S14+'[5]May 23'!R14</f>
        <v>0</v>
      </c>
      <c r="T14" s="139">
        <f t="shared" si="2"/>
        <v>61.329999999999991</v>
      </c>
      <c r="U14" s="139">
        <f t="shared" si="3"/>
        <v>2194.3179999999998</v>
      </c>
    </row>
    <row r="15" spans="1:21" s="111" customFormat="1" ht="38.25" customHeight="1" x14ac:dyDescent="0.4">
      <c r="A15" s="238" t="s">
        <v>86</v>
      </c>
      <c r="B15" s="239"/>
      <c r="C15" s="141">
        <f>SUM(C12:C14)</f>
        <v>1550.849999999999</v>
      </c>
      <c r="D15" s="141">
        <f t="shared" ref="D15:U15" si="5">SUM(D12:D14)</f>
        <v>0</v>
      </c>
      <c r="E15" s="141">
        <f t="shared" si="5"/>
        <v>0</v>
      </c>
      <c r="F15" s="141">
        <f t="shared" si="5"/>
        <v>0</v>
      </c>
      <c r="G15" s="141">
        <f t="shared" si="5"/>
        <v>0</v>
      </c>
      <c r="H15" s="141">
        <f t="shared" si="5"/>
        <v>1550.849999999999</v>
      </c>
      <c r="I15" s="141">
        <f t="shared" si="5"/>
        <v>2739.335</v>
      </c>
      <c r="J15" s="141">
        <f t="shared" si="5"/>
        <v>11.17</v>
      </c>
      <c r="K15" s="141">
        <f t="shared" si="5"/>
        <v>25.04</v>
      </c>
      <c r="L15" s="141">
        <f t="shared" si="5"/>
        <v>0</v>
      </c>
      <c r="M15" s="141">
        <f t="shared" si="5"/>
        <v>0</v>
      </c>
      <c r="N15" s="141">
        <f t="shared" si="5"/>
        <v>2750.5050000000006</v>
      </c>
      <c r="O15" s="141">
        <f t="shared" si="5"/>
        <v>131.69</v>
      </c>
      <c r="P15" s="141">
        <f t="shared" si="5"/>
        <v>0</v>
      </c>
      <c r="Q15" s="141">
        <f t="shared" si="5"/>
        <v>0</v>
      </c>
      <c r="R15" s="141">
        <f t="shared" si="5"/>
        <v>0</v>
      </c>
      <c r="S15" s="141">
        <f t="shared" si="5"/>
        <v>0</v>
      </c>
      <c r="T15" s="141">
        <f t="shared" si="5"/>
        <v>131.69</v>
      </c>
      <c r="U15" s="141">
        <f t="shared" si="5"/>
        <v>4433.0450000000001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752.35400000000027</v>
      </c>
      <c r="D16" s="139">
        <v>0.32</v>
      </c>
      <c r="E16" s="139">
        <f>'[5]April 2023'!E16+'[5]May 23'!D16</f>
        <v>0.74</v>
      </c>
      <c r="F16" s="139">
        <v>0</v>
      </c>
      <c r="G16" s="139">
        <f>'[5]April 2023'!G16+'[5]May 23'!F16</f>
        <v>4.2300000000000004</v>
      </c>
      <c r="H16" s="139">
        <f t="shared" si="0"/>
        <v>752.67400000000032</v>
      </c>
      <c r="I16" s="139">
        <v>577.42600000000016</v>
      </c>
      <c r="J16" s="139">
        <v>0.97</v>
      </c>
      <c r="K16" s="139">
        <f>'[5]April 2023'!K16+'[5]May 23'!J16</f>
        <v>1.42</v>
      </c>
      <c r="L16" s="139">
        <v>0</v>
      </c>
      <c r="M16" s="139">
        <f>'[5]April 2023'!M16+'[5]May 23'!L16</f>
        <v>0</v>
      </c>
      <c r="N16" s="139">
        <f t="shared" si="1"/>
        <v>578.39600000000019</v>
      </c>
      <c r="O16" s="139">
        <v>177.47200000000004</v>
      </c>
      <c r="P16" s="139">
        <v>0.05</v>
      </c>
      <c r="Q16" s="139">
        <f>'[5]April 2023'!Q16+'[5]May 23'!P16</f>
        <v>0.08</v>
      </c>
      <c r="R16" s="139">
        <v>0.03</v>
      </c>
      <c r="S16" s="139">
        <f>'[5]April 2023'!S16+'[5]May 23'!R16</f>
        <v>0.03</v>
      </c>
      <c r="T16" s="139">
        <f t="shared" si="2"/>
        <v>177.49200000000005</v>
      </c>
      <c r="U16" s="139">
        <f t="shared" si="3"/>
        <v>1508.5620000000006</v>
      </c>
    </row>
    <row r="17" spans="1:21" ht="38.25" customHeight="1" x14ac:dyDescent="0.35">
      <c r="A17" s="171">
        <v>9</v>
      </c>
      <c r="B17" s="172" t="s">
        <v>120</v>
      </c>
      <c r="C17" s="139">
        <v>2.6759999999999478</v>
      </c>
      <c r="D17" s="139">
        <v>0.05</v>
      </c>
      <c r="E17" s="139">
        <f>'[5]April 2023'!E17+'[5]May 23'!D17</f>
        <v>0.05</v>
      </c>
      <c r="F17" s="139">
        <v>0</v>
      </c>
      <c r="G17" s="139">
        <f>'[5]April 2023'!G17+'[5]May 23'!F17</f>
        <v>0</v>
      </c>
      <c r="H17" s="139">
        <f t="shared" si="0"/>
        <v>2.7259999999999476</v>
      </c>
      <c r="I17" s="139">
        <v>595.04999999999995</v>
      </c>
      <c r="J17" s="139">
        <f>4.2-1.25+1.24</f>
        <v>4.1900000000000004</v>
      </c>
      <c r="K17" s="139">
        <f>'[5]April 2023'!K17+'[5]May 23'!J17</f>
        <v>10.120000000000001</v>
      </c>
      <c r="L17" s="139">
        <v>0.43</v>
      </c>
      <c r="M17" s="139">
        <f>'[5]April 2023'!M17+'[5]May 23'!L17</f>
        <v>0.43</v>
      </c>
      <c r="N17" s="139">
        <f t="shared" si="1"/>
        <v>598.81000000000006</v>
      </c>
      <c r="O17" s="139">
        <v>1.9500000000000002</v>
      </c>
      <c r="P17" s="139">
        <f>1.2+0.02</f>
        <v>1.22</v>
      </c>
      <c r="Q17" s="139">
        <f>'[5]April 2023'!Q17+'[5]May 23'!P17</f>
        <v>1.22</v>
      </c>
      <c r="R17" s="139">
        <v>0.43</v>
      </c>
      <c r="S17" s="139">
        <f>'[5]April 2023'!S17+'[5]May 23'!R17</f>
        <v>0.43</v>
      </c>
      <c r="T17" s="139">
        <f t="shared" si="2"/>
        <v>2.7399999999999998</v>
      </c>
      <c r="U17" s="139">
        <f t="shared" si="3"/>
        <v>604.27600000000007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90.266000000000147</v>
      </c>
      <c r="D18" s="139">
        <v>0</v>
      </c>
      <c r="E18" s="139">
        <f>'[5]April 2023'!E18+'[5]May 23'!D18</f>
        <v>0.05</v>
      </c>
      <c r="F18" s="139">
        <v>0</v>
      </c>
      <c r="G18" s="139">
        <f>'[5]April 2023'!G18+'[5]May 23'!F18</f>
        <v>0.05</v>
      </c>
      <c r="H18" s="139">
        <f t="shared" si="0"/>
        <v>90.266000000000147</v>
      </c>
      <c r="I18" s="139">
        <v>619.85</v>
      </c>
      <c r="J18" s="139">
        <f>0.24</f>
        <v>0.24</v>
      </c>
      <c r="K18" s="139">
        <f>'[5]April 2023'!K18+'[5]May 23'!J18</f>
        <v>2.7949999999999999</v>
      </c>
      <c r="L18" s="139">
        <v>0</v>
      </c>
      <c r="M18" s="139">
        <f>'[5]April 2023'!M18+'[5]May 23'!L18</f>
        <v>0</v>
      </c>
      <c r="N18" s="139">
        <f t="shared" si="1"/>
        <v>620.09</v>
      </c>
      <c r="O18" s="139">
        <v>35.689999999999991</v>
      </c>
      <c r="P18" s="139">
        <v>0</v>
      </c>
      <c r="Q18" s="139">
        <f>'[5]April 2023'!Q18+'[5]May 23'!P18</f>
        <v>0</v>
      </c>
      <c r="R18" s="139">
        <v>0</v>
      </c>
      <c r="S18" s="139">
        <f>'[5]April 2023'!S18+'[5]May 23'!R18</f>
        <v>0</v>
      </c>
      <c r="T18" s="139">
        <f t="shared" si="2"/>
        <v>35.689999999999991</v>
      </c>
      <c r="U18" s="139">
        <f t="shared" si="3"/>
        <v>746.04600000000016</v>
      </c>
    </row>
    <row r="19" spans="1:21" s="111" customFormat="1" ht="38.25" customHeight="1" x14ac:dyDescent="0.4">
      <c r="A19" s="238" t="s">
        <v>89</v>
      </c>
      <c r="B19" s="239"/>
      <c r="C19" s="141">
        <f>SUM(C16:C18)</f>
        <v>845.29600000000039</v>
      </c>
      <c r="D19" s="141">
        <f t="shared" ref="D19:U19" si="6">SUM(D16:D18)</f>
        <v>0.37</v>
      </c>
      <c r="E19" s="141">
        <f t="shared" si="6"/>
        <v>0.84000000000000008</v>
      </c>
      <c r="F19" s="141">
        <f t="shared" si="6"/>
        <v>0</v>
      </c>
      <c r="G19" s="141">
        <f t="shared" si="6"/>
        <v>4.28</v>
      </c>
      <c r="H19" s="141">
        <f t="shared" si="6"/>
        <v>845.66600000000051</v>
      </c>
      <c r="I19" s="141">
        <f t="shared" si="6"/>
        <v>1792.326</v>
      </c>
      <c r="J19" s="141">
        <f t="shared" si="6"/>
        <v>5.4</v>
      </c>
      <c r="K19" s="141">
        <f t="shared" si="6"/>
        <v>14.335000000000001</v>
      </c>
      <c r="L19" s="141">
        <f t="shared" si="6"/>
        <v>0.43</v>
      </c>
      <c r="M19" s="141">
        <f t="shared" si="6"/>
        <v>0.43</v>
      </c>
      <c r="N19" s="141">
        <f t="shared" si="6"/>
        <v>1797.2960000000003</v>
      </c>
      <c r="O19" s="141">
        <f t="shared" si="6"/>
        <v>215.11200000000002</v>
      </c>
      <c r="P19" s="141">
        <f t="shared" si="6"/>
        <v>1.27</v>
      </c>
      <c r="Q19" s="141">
        <f t="shared" si="6"/>
        <v>1.3</v>
      </c>
      <c r="R19" s="141">
        <f t="shared" si="6"/>
        <v>0.45999999999999996</v>
      </c>
      <c r="S19" s="141">
        <f t="shared" si="6"/>
        <v>0.45999999999999996</v>
      </c>
      <c r="T19" s="141">
        <f t="shared" si="6"/>
        <v>215.92200000000005</v>
      </c>
      <c r="U19" s="141">
        <f t="shared" si="6"/>
        <v>2858.8840000000009</v>
      </c>
    </row>
    <row r="20" spans="1:21" ht="38.25" customHeight="1" x14ac:dyDescent="0.35">
      <c r="A20" s="171">
        <v>8</v>
      </c>
      <c r="B20" s="172" t="s">
        <v>91</v>
      </c>
      <c r="C20" s="139">
        <v>607.42999999999984</v>
      </c>
      <c r="D20" s="139">
        <v>0</v>
      </c>
      <c r="E20" s="139">
        <f>'[5]April 2023'!E20+'[5]May 23'!D20</f>
        <v>0</v>
      </c>
      <c r="F20" s="139">
        <v>0</v>
      </c>
      <c r="G20" s="139">
        <f>'[5]April 2023'!G20+'[5]May 23'!F20</f>
        <v>0</v>
      </c>
      <c r="H20" s="139">
        <f t="shared" si="0"/>
        <v>607.42999999999984</v>
      </c>
      <c r="I20" s="139">
        <v>749.12800000000027</v>
      </c>
      <c r="J20" s="139">
        <v>1.78</v>
      </c>
      <c r="K20" s="139">
        <f>'[5]April 2023'!K20+'[5]May 23'!J20</f>
        <v>2.52</v>
      </c>
      <c r="L20" s="139">
        <v>0</v>
      </c>
      <c r="M20" s="139">
        <f>'[5]April 2023'!M20+'[5]May 23'!L20</f>
        <v>0.02</v>
      </c>
      <c r="N20" s="139">
        <f t="shared" si="1"/>
        <v>750.90800000000024</v>
      </c>
      <c r="O20" s="139">
        <v>37.580000000000005</v>
      </c>
      <c r="P20" s="139">
        <v>0</v>
      </c>
      <c r="Q20" s="139">
        <f>'[5]April 2023'!Q20+'[5]May 23'!P20</f>
        <v>0</v>
      </c>
      <c r="R20" s="139">
        <v>0</v>
      </c>
      <c r="S20" s="139">
        <f>'[5]April 2023'!S20+'[5]May 23'!R20</f>
        <v>0</v>
      </c>
      <c r="T20" s="139">
        <f t="shared" si="2"/>
        <v>37.580000000000005</v>
      </c>
      <c r="U20" s="139">
        <f t="shared" si="3"/>
        <v>1395.9180000000001</v>
      </c>
    </row>
    <row r="21" spans="1:21" ht="38.25" customHeight="1" x14ac:dyDescent="0.35">
      <c r="A21" s="171">
        <v>9</v>
      </c>
      <c r="B21" s="172" t="s">
        <v>90</v>
      </c>
      <c r="C21" s="139">
        <v>2.0700000000000003</v>
      </c>
      <c r="D21" s="139">
        <v>0</v>
      </c>
      <c r="E21" s="139">
        <f>'[5]April 2023'!E21+'[5]May 23'!D21</f>
        <v>0</v>
      </c>
      <c r="F21" s="139">
        <v>0</v>
      </c>
      <c r="G21" s="139">
        <f>'[5]April 2023'!G21+'[5]May 23'!F21</f>
        <v>0</v>
      </c>
      <c r="H21" s="139">
        <f t="shared" si="0"/>
        <v>2.0700000000000003</v>
      </c>
      <c r="I21" s="139">
        <v>461.75700000000012</v>
      </c>
      <c r="J21" s="139">
        <v>3.34</v>
      </c>
      <c r="K21" s="139">
        <f>'[5]April 2023'!K21+'[5]May 23'!J21</f>
        <v>3.69</v>
      </c>
      <c r="L21" s="139">
        <v>0</v>
      </c>
      <c r="M21" s="139">
        <f>'[5]April 2023'!M21+'[5]May 23'!L21</f>
        <v>0.02</v>
      </c>
      <c r="N21" s="139">
        <f t="shared" si="1"/>
        <v>465.09700000000009</v>
      </c>
      <c r="O21" s="139">
        <v>18.889999999999993</v>
      </c>
      <c r="P21" s="139">
        <v>0</v>
      </c>
      <c r="Q21" s="139">
        <f>'[5]April 2023'!Q21+'[5]May 23'!P21</f>
        <v>0</v>
      </c>
      <c r="R21" s="139">
        <v>0</v>
      </c>
      <c r="S21" s="139">
        <f>'[5]April 2023'!S21+'[5]May 23'!R21</f>
        <v>0</v>
      </c>
      <c r="T21" s="139">
        <f t="shared" si="2"/>
        <v>18.889999999999993</v>
      </c>
      <c r="U21" s="139">
        <f t="shared" si="3"/>
        <v>486.05700000000007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22.430000000000021</v>
      </c>
      <c r="D22" s="139">
        <v>0</v>
      </c>
      <c r="E22" s="139">
        <f>'[5]April 2023'!E22+'[5]May 23'!D22</f>
        <v>0</v>
      </c>
      <c r="F22" s="139">
        <v>0</v>
      </c>
      <c r="G22" s="139">
        <f>'[5]April 2023'!G22+'[5]May 23'!F22</f>
        <v>0</v>
      </c>
      <c r="H22" s="139">
        <f t="shared" si="0"/>
        <v>22.430000000000021</v>
      </c>
      <c r="I22" s="139">
        <v>698.55000000000018</v>
      </c>
      <c r="J22" s="139">
        <v>0.28999999999999998</v>
      </c>
      <c r="K22" s="139">
        <f>'[5]April 2023'!K22+'[5]May 23'!J22</f>
        <v>0.62</v>
      </c>
      <c r="L22" s="139">
        <v>0</v>
      </c>
      <c r="M22" s="139">
        <f>'[5]April 2023'!M22+'[5]May 23'!L22</f>
        <v>0</v>
      </c>
      <c r="N22" s="139">
        <f t="shared" si="1"/>
        <v>698.84000000000015</v>
      </c>
      <c r="O22" s="139">
        <v>0.60000000000000098</v>
      </c>
      <c r="P22" s="139">
        <v>0</v>
      </c>
      <c r="Q22" s="139">
        <f>'[5]April 2023'!Q22+'[5]May 23'!P22</f>
        <v>0</v>
      </c>
      <c r="R22" s="139">
        <v>0</v>
      </c>
      <c r="S22" s="139">
        <f>'[5]April 2023'!S22+'[5]May 23'!R22</f>
        <v>0</v>
      </c>
      <c r="T22" s="139">
        <f t="shared" si="2"/>
        <v>0.60000000000000098</v>
      </c>
      <c r="U22" s="139">
        <f t="shared" si="3"/>
        <v>721.87000000000023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430.64</v>
      </c>
      <c r="D23" s="139">
        <f>1.5+0.03</f>
        <v>1.53</v>
      </c>
      <c r="E23" s="139">
        <f>'[5]April 2023'!E23+'[5]May 23'!D23</f>
        <v>1.53</v>
      </c>
      <c r="F23" s="139">
        <v>0</v>
      </c>
      <c r="G23" s="139">
        <f>'[5]April 2023'!G23+'[5]May 23'!F23</f>
        <v>0</v>
      </c>
      <c r="H23" s="139">
        <f t="shared" si="0"/>
        <v>432.16999999999996</v>
      </c>
      <c r="I23" s="139">
        <v>140.29499999999999</v>
      </c>
      <c r="J23" s="139">
        <v>0.19</v>
      </c>
      <c r="K23" s="139">
        <f>'[5]April 2023'!K23+'[5]May 23'!J23</f>
        <v>0.92999999999999994</v>
      </c>
      <c r="L23" s="139">
        <v>0</v>
      </c>
      <c r="M23" s="139">
        <f>'[5]April 2023'!M23+'[5]May 23'!L23</f>
        <v>0</v>
      </c>
      <c r="N23" s="139">
        <f t="shared" si="1"/>
        <v>140.48499999999999</v>
      </c>
      <c r="O23" s="139">
        <v>22.5</v>
      </c>
      <c r="P23" s="139">
        <v>0</v>
      </c>
      <c r="Q23" s="139">
        <f>'[5]April 2023'!Q23+'[5]May 23'!P23</f>
        <v>0</v>
      </c>
      <c r="R23" s="139">
        <v>0</v>
      </c>
      <c r="S23" s="139">
        <f>'[5]April 2023'!S23+'[5]May 23'!R23</f>
        <v>0</v>
      </c>
      <c r="T23" s="139">
        <f t="shared" si="2"/>
        <v>22.5</v>
      </c>
      <c r="U23" s="139">
        <f t="shared" si="3"/>
        <v>595.15499999999997</v>
      </c>
    </row>
    <row r="24" spans="1:21" s="111" customFormat="1" ht="38.25" customHeight="1" x14ac:dyDescent="0.4">
      <c r="A24" s="240" t="s">
        <v>94</v>
      </c>
      <c r="B24" s="240"/>
      <c r="C24" s="141">
        <f>SUM(C20:C23)</f>
        <v>1062.57</v>
      </c>
      <c r="D24" s="141">
        <f t="shared" ref="D24:U24" si="7">SUM(D20:D23)</f>
        <v>1.53</v>
      </c>
      <c r="E24" s="141">
        <f t="shared" si="7"/>
        <v>1.53</v>
      </c>
      <c r="F24" s="141">
        <f t="shared" si="7"/>
        <v>0</v>
      </c>
      <c r="G24" s="141">
        <f t="shared" si="7"/>
        <v>0</v>
      </c>
      <c r="H24" s="141">
        <f t="shared" si="7"/>
        <v>1064.0999999999999</v>
      </c>
      <c r="I24" s="141">
        <f t="shared" si="7"/>
        <v>2049.7300000000005</v>
      </c>
      <c r="J24" s="141">
        <f t="shared" si="7"/>
        <v>5.6000000000000005</v>
      </c>
      <c r="K24" s="141">
        <f t="shared" si="7"/>
        <v>7.76</v>
      </c>
      <c r="L24" s="141">
        <f t="shared" si="7"/>
        <v>0</v>
      </c>
      <c r="M24" s="141">
        <f t="shared" si="7"/>
        <v>0.04</v>
      </c>
      <c r="N24" s="141">
        <f t="shared" si="7"/>
        <v>2055.3300000000004</v>
      </c>
      <c r="O24" s="141">
        <f t="shared" si="7"/>
        <v>79.569999999999993</v>
      </c>
      <c r="P24" s="141">
        <f t="shared" si="7"/>
        <v>0</v>
      </c>
      <c r="Q24" s="141">
        <f t="shared" si="7"/>
        <v>0</v>
      </c>
      <c r="R24" s="141">
        <f t="shared" si="7"/>
        <v>0</v>
      </c>
      <c r="S24" s="141">
        <f t="shared" si="7"/>
        <v>0</v>
      </c>
      <c r="T24" s="141">
        <f t="shared" si="7"/>
        <v>79.569999999999993</v>
      </c>
      <c r="U24" s="141">
        <f t="shared" si="7"/>
        <v>3199</v>
      </c>
    </row>
    <row r="25" spans="1:21" s="145" customFormat="1" ht="38.25" customHeight="1" x14ac:dyDescent="0.4">
      <c r="A25" s="241" t="s">
        <v>95</v>
      </c>
      <c r="B25" s="242"/>
      <c r="C25" s="141">
        <f>C24+C19+C15+C11</f>
        <v>3941.0459999999994</v>
      </c>
      <c r="D25" s="141">
        <f t="shared" ref="D25:U25" si="8">D24+D19+D15+D11</f>
        <v>1.9</v>
      </c>
      <c r="E25" s="141">
        <f t="shared" si="8"/>
        <v>2.37</v>
      </c>
      <c r="F25" s="141">
        <f t="shared" si="8"/>
        <v>0</v>
      </c>
      <c r="G25" s="141">
        <f t="shared" si="8"/>
        <v>4.28</v>
      </c>
      <c r="H25" s="141">
        <f t="shared" si="8"/>
        <v>3942.9459999999995</v>
      </c>
      <c r="I25" s="141">
        <f t="shared" si="8"/>
        <v>8976.2610000000004</v>
      </c>
      <c r="J25" s="141">
        <f t="shared" si="8"/>
        <v>53.64200000000001</v>
      </c>
      <c r="K25" s="141">
        <f t="shared" si="8"/>
        <v>92.653000000000006</v>
      </c>
      <c r="L25" s="141">
        <f t="shared" si="8"/>
        <v>0.43</v>
      </c>
      <c r="M25" s="141">
        <f t="shared" si="8"/>
        <v>0.47</v>
      </c>
      <c r="N25" s="141">
        <f t="shared" si="8"/>
        <v>9029.4730000000018</v>
      </c>
      <c r="O25" s="141">
        <f t="shared" si="8"/>
        <v>546.03800000000001</v>
      </c>
      <c r="P25" s="141">
        <f t="shared" si="8"/>
        <v>1.27</v>
      </c>
      <c r="Q25" s="141">
        <f t="shared" si="8"/>
        <v>1.3</v>
      </c>
      <c r="R25" s="141">
        <f t="shared" si="8"/>
        <v>0.45999999999999996</v>
      </c>
      <c r="S25" s="141">
        <f t="shared" si="8"/>
        <v>0.45999999999999996</v>
      </c>
      <c r="T25" s="141">
        <f t="shared" si="8"/>
        <v>546.84800000000007</v>
      </c>
      <c r="U25" s="141">
        <f t="shared" si="8"/>
        <v>13519.267</v>
      </c>
    </row>
    <row r="26" spans="1:21" ht="38.25" customHeight="1" x14ac:dyDescent="0.35">
      <c r="A26" s="171">
        <v>15</v>
      </c>
      <c r="B26" s="172" t="s">
        <v>96</v>
      </c>
      <c r="C26" s="139">
        <v>1633.77</v>
      </c>
      <c r="D26" s="139">
        <v>6.91</v>
      </c>
      <c r="E26" s="139">
        <f>'[5]April 2023'!E26+'[5]May 23'!D26</f>
        <v>12.39</v>
      </c>
      <c r="F26" s="139">
        <v>0</v>
      </c>
      <c r="G26" s="139">
        <f>'[5]April 2023'!G26+'[5]May 23'!F26</f>
        <v>0</v>
      </c>
      <c r="H26" s="139">
        <f t="shared" si="0"/>
        <v>1640.68</v>
      </c>
      <c r="I26" s="139">
        <v>122.17</v>
      </c>
      <c r="J26" s="139">
        <v>0.03</v>
      </c>
      <c r="K26" s="139">
        <f>'[5]April 2023'!K26+'[5]May 23'!J26</f>
        <v>0.65</v>
      </c>
      <c r="L26" s="139">
        <v>0</v>
      </c>
      <c r="M26" s="139">
        <f>'[5]April 2023'!M26+'[5]May 23'!L26</f>
        <v>0</v>
      </c>
      <c r="N26" s="139">
        <f t="shared" si="1"/>
        <v>122.2</v>
      </c>
      <c r="O26" s="139">
        <v>16.369999999999997</v>
      </c>
      <c r="P26" s="139">
        <v>0.12</v>
      </c>
      <c r="Q26" s="139">
        <f>'[5]April 2023'!Q26+'[5]May 23'!P26</f>
        <v>0.12</v>
      </c>
      <c r="R26" s="139">
        <v>0</v>
      </c>
      <c r="S26" s="139">
        <f>'[5]April 2023'!S26+'[5]May 23'!R26</f>
        <v>0</v>
      </c>
      <c r="T26" s="139">
        <f t="shared" si="2"/>
        <v>16.489999999999998</v>
      </c>
      <c r="U26" s="139">
        <f t="shared" si="3"/>
        <v>1779.3700000000001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5693.1150000000043</v>
      </c>
      <c r="D27" s="139">
        <v>8.7200000000000006</v>
      </c>
      <c r="E27" s="139">
        <f>'[5]April 2023'!E27+'[5]May 23'!D27</f>
        <v>16.48</v>
      </c>
      <c r="F27" s="139">
        <v>0</v>
      </c>
      <c r="G27" s="139">
        <f>'[5]April 2023'!G27+'[5]May 23'!F27</f>
        <v>0.02</v>
      </c>
      <c r="H27" s="139">
        <f t="shared" si="0"/>
        <v>5701.8350000000046</v>
      </c>
      <c r="I27" s="139">
        <v>634.73799999999994</v>
      </c>
      <c r="J27" s="139">
        <v>1.04</v>
      </c>
      <c r="K27" s="139">
        <f>'[5]April 2023'!K27+'[5]May 23'!J27</f>
        <v>1.62</v>
      </c>
      <c r="L27" s="139">
        <v>0</v>
      </c>
      <c r="M27" s="139">
        <f>'[5]April 2023'!M27+'[5]May 23'!L27</f>
        <v>0.02</v>
      </c>
      <c r="N27" s="139">
        <f t="shared" si="1"/>
        <v>635.77799999999991</v>
      </c>
      <c r="O27" s="139">
        <v>33.800000000000004</v>
      </c>
      <c r="P27" s="139">
        <v>0</v>
      </c>
      <c r="Q27" s="139">
        <f>'[5]April 2023'!Q27+'[5]May 23'!P27</f>
        <v>0</v>
      </c>
      <c r="R27" s="139">
        <v>0</v>
      </c>
      <c r="S27" s="139">
        <f>'[5]April 2023'!S27+'[5]May 23'!R27</f>
        <v>0</v>
      </c>
      <c r="T27" s="139">
        <f t="shared" si="2"/>
        <v>33.800000000000004</v>
      </c>
      <c r="U27" s="139">
        <f t="shared" si="3"/>
        <v>6371.413000000005</v>
      </c>
    </row>
    <row r="28" spans="1:21" s="111" customFormat="1" ht="38.25" customHeight="1" x14ac:dyDescent="0.4">
      <c r="A28" s="240" t="s">
        <v>98</v>
      </c>
      <c r="B28" s="240"/>
      <c r="C28" s="141">
        <f>SUM(C26:C27)</f>
        <v>7326.8850000000039</v>
      </c>
      <c r="D28" s="141">
        <f t="shared" ref="D28:U28" si="9">SUM(D26:D27)</f>
        <v>15.63</v>
      </c>
      <c r="E28" s="141">
        <f t="shared" si="9"/>
        <v>28.87</v>
      </c>
      <c r="F28" s="141">
        <f t="shared" si="9"/>
        <v>0</v>
      </c>
      <c r="G28" s="141">
        <f t="shared" si="9"/>
        <v>0.02</v>
      </c>
      <c r="H28" s="141">
        <f t="shared" si="9"/>
        <v>7342.5150000000049</v>
      </c>
      <c r="I28" s="141">
        <f t="shared" si="9"/>
        <v>756.9079999999999</v>
      </c>
      <c r="J28" s="141">
        <f t="shared" si="9"/>
        <v>1.07</v>
      </c>
      <c r="K28" s="141">
        <f t="shared" si="9"/>
        <v>2.27</v>
      </c>
      <c r="L28" s="141">
        <f t="shared" si="9"/>
        <v>0</v>
      </c>
      <c r="M28" s="141">
        <f t="shared" si="9"/>
        <v>0.02</v>
      </c>
      <c r="N28" s="141">
        <f t="shared" si="9"/>
        <v>757.97799999999995</v>
      </c>
      <c r="O28" s="141">
        <f t="shared" si="9"/>
        <v>50.17</v>
      </c>
      <c r="P28" s="141">
        <f t="shared" si="9"/>
        <v>0.12</v>
      </c>
      <c r="Q28" s="141">
        <f t="shared" si="9"/>
        <v>0.12</v>
      </c>
      <c r="R28" s="141">
        <f t="shared" si="9"/>
        <v>0</v>
      </c>
      <c r="S28" s="141">
        <f t="shared" si="9"/>
        <v>0</v>
      </c>
      <c r="T28" s="141">
        <f t="shared" si="9"/>
        <v>50.290000000000006</v>
      </c>
      <c r="U28" s="141">
        <f t="shared" si="9"/>
        <v>8150.7830000000049</v>
      </c>
    </row>
    <row r="29" spans="1:21" ht="38.25" customHeight="1" x14ac:dyDescent="0.35">
      <c r="A29" s="171">
        <v>17</v>
      </c>
      <c r="B29" s="172" t="s">
        <v>99</v>
      </c>
      <c r="C29" s="139">
        <v>5009.6780000000008</v>
      </c>
      <c r="D29" s="139">
        <v>0.05</v>
      </c>
      <c r="E29" s="139">
        <f>'[5]April 2023'!E29+'[5]May 23'!D29</f>
        <v>128.69</v>
      </c>
      <c r="F29" s="139">
        <v>0</v>
      </c>
      <c r="G29" s="139">
        <f>'[5]April 2023'!G29+'[5]May 23'!F29</f>
        <v>0</v>
      </c>
      <c r="H29" s="139">
        <f t="shared" si="0"/>
        <v>5009.728000000001</v>
      </c>
      <c r="I29" s="139">
        <v>121.59000000000002</v>
      </c>
      <c r="J29" s="139">
        <v>0.09</v>
      </c>
      <c r="K29" s="139">
        <f>'[5]April 2023'!K29+'[5]May 23'!J29</f>
        <v>0.15</v>
      </c>
      <c r="L29" s="139">
        <v>0</v>
      </c>
      <c r="M29" s="139">
        <f>'[5]April 2023'!M29+'[5]May 23'!L29</f>
        <v>0</v>
      </c>
      <c r="N29" s="139">
        <f t="shared" si="1"/>
        <v>121.68000000000002</v>
      </c>
      <c r="O29" s="139">
        <v>34.52000000000001</v>
      </c>
      <c r="P29" s="139">
        <v>0</v>
      </c>
      <c r="Q29" s="139">
        <f>'[5]April 2023'!Q29+'[5]May 23'!P29</f>
        <v>0</v>
      </c>
      <c r="R29" s="139">
        <v>0</v>
      </c>
      <c r="S29" s="139">
        <f>'[5]April 2023'!S29+'[5]May 23'!R29</f>
        <v>0</v>
      </c>
      <c r="T29" s="139">
        <f t="shared" si="2"/>
        <v>34.52000000000001</v>
      </c>
      <c r="U29" s="139">
        <f t="shared" si="3"/>
        <v>5165.9280000000017</v>
      </c>
    </row>
    <row r="30" spans="1:21" ht="38.25" customHeight="1" x14ac:dyDescent="0.35">
      <c r="A30" s="171">
        <v>18</v>
      </c>
      <c r="B30" s="172" t="s">
        <v>100</v>
      </c>
      <c r="C30" s="139">
        <v>3709.329999999999</v>
      </c>
      <c r="D30" s="139">
        <v>2.57</v>
      </c>
      <c r="E30" s="139">
        <f>'[5]April 2023'!E30+'[5]May 23'!D30</f>
        <v>9.75</v>
      </c>
      <c r="F30" s="139">
        <v>0</v>
      </c>
      <c r="G30" s="139">
        <f>'[5]April 2023'!G30+'[5]May 23'!F30</f>
        <v>0</v>
      </c>
      <c r="H30" s="139">
        <f t="shared" si="0"/>
        <v>3711.8999999999992</v>
      </c>
      <c r="I30" s="139">
        <v>198.58699999999999</v>
      </c>
      <c r="J30" s="139">
        <v>0</v>
      </c>
      <c r="K30" s="139">
        <f>'[5]April 2023'!K30+'[5]May 23'!J30</f>
        <v>0</v>
      </c>
      <c r="L30" s="139">
        <v>0</v>
      </c>
      <c r="M30" s="139">
        <f>'[5]April 2023'!M30+'[5]May 23'!L30</f>
        <v>0</v>
      </c>
      <c r="N30" s="139">
        <f t="shared" si="1"/>
        <v>198.58699999999999</v>
      </c>
      <c r="O30" s="139">
        <v>23.25</v>
      </c>
      <c r="P30" s="139">
        <v>0</v>
      </c>
      <c r="Q30" s="139">
        <f>'[5]April 2023'!Q30+'[5]May 23'!P30</f>
        <v>0</v>
      </c>
      <c r="R30" s="139">
        <v>0</v>
      </c>
      <c r="S30" s="139">
        <f>'[5]April 2023'!S30+'[5]May 23'!R30</f>
        <v>0</v>
      </c>
      <c r="T30" s="139">
        <f t="shared" si="2"/>
        <v>23.25</v>
      </c>
      <c r="U30" s="139">
        <f t="shared" si="3"/>
        <v>3933.7369999999992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4702.4920000000011</v>
      </c>
      <c r="D31" s="139">
        <v>2.0779999999999998</v>
      </c>
      <c r="E31" s="139">
        <f>'[5]April 2023'!E31+'[5]May 23'!D31</f>
        <v>2.0779999999999998</v>
      </c>
      <c r="F31" s="139">
        <v>0</v>
      </c>
      <c r="G31" s="139">
        <f>'[5]April 2023'!G31+'[5]May 23'!F31</f>
        <v>0</v>
      </c>
      <c r="H31" s="139">
        <f t="shared" si="0"/>
        <v>4704.5700000000015</v>
      </c>
      <c r="I31" s="139">
        <v>107.89500000000002</v>
      </c>
      <c r="J31" s="139">
        <v>0</v>
      </c>
      <c r="K31" s="139">
        <f>'[5]April 2023'!K31+'[5]May 23'!J31</f>
        <v>0.20499999999999999</v>
      </c>
      <c r="L31" s="139">
        <v>0</v>
      </c>
      <c r="M31" s="139">
        <f>'[5]April 2023'!M31+'[5]May 23'!L31</f>
        <v>0</v>
      </c>
      <c r="N31" s="139">
        <f t="shared" si="1"/>
        <v>107.89500000000002</v>
      </c>
      <c r="O31" s="139">
        <v>14.850000000000001</v>
      </c>
      <c r="P31" s="139">
        <v>0</v>
      </c>
      <c r="Q31" s="139">
        <f>'[5]April 2023'!Q31+'[5]May 23'!P31</f>
        <v>0</v>
      </c>
      <c r="R31" s="139">
        <v>0</v>
      </c>
      <c r="S31" s="139">
        <f>'[5]April 2023'!S31+'[5]May 23'!R31</f>
        <v>0</v>
      </c>
      <c r="T31" s="139">
        <f t="shared" si="2"/>
        <v>14.850000000000001</v>
      </c>
      <c r="U31" s="139">
        <f t="shared" si="3"/>
        <v>4827.3150000000023</v>
      </c>
    </row>
    <row r="32" spans="1:21" ht="38.25" customHeight="1" x14ac:dyDescent="0.35">
      <c r="A32" s="171">
        <v>20</v>
      </c>
      <c r="B32" s="172" t="s">
        <v>102</v>
      </c>
      <c r="C32" s="139">
        <v>2366.715799999999</v>
      </c>
      <c r="D32" s="139">
        <v>2.69</v>
      </c>
      <c r="E32" s="139">
        <f>'[5]April 2023'!E32+'[5]May 23'!D32</f>
        <v>5.1099999999999994</v>
      </c>
      <c r="F32" s="139">
        <v>0</v>
      </c>
      <c r="G32" s="139">
        <f>'[5]April 2023'!G32+'[5]May 23'!F32</f>
        <v>9.73</v>
      </c>
      <c r="H32" s="139">
        <f t="shared" si="0"/>
        <v>2369.4057999999991</v>
      </c>
      <c r="I32" s="139">
        <v>94.734000000000023</v>
      </c>
      <c r="J32" s="139">
        <v>1.65</v>
      </c>
      <c r="K32" s="139">
        <f>'[5]April 2023'!K32+'[5]May 23'!J32</f>
        <v>3.2080000000000002</v>
      </c>
      <c r="L32" s="139">
        <v>0</v>
      </c>
      <c r="M32" s="139">
        <f>'[5]April 2023'!M32+'[5]May 23'!L32</f>
        <v>0</v>
      </c>
      <c r="N32" s="139">
        <f t="shared" si="1"/>
        <v>96.384000000000029</v>
      </c>
      <c r="O32" s="139">
        <v>67.551999999999992</v>
      </c>
      <c r="P32" s="139">
        <v>0</v>
      </c>
      <c r="Q32" s="139">
        <f>'[5]April 2023'!Q32+'[5]May 23'!P32</f>
        <v>0</v>
      </c>
      <c r="R32" s="139">
        <v>0</v>
      </c>
      <c r="S32" s="139">
        <f>'[5]April 2023'!S32+'[5]May 23'!R32</f>
        <v>0</v>
      </c>
      <c r="T32" s="139">
        <f t="shared" si="2"/>
        <v>67.551999999999992</v>
      </c>
      <c r="U32" s="139">
        <f t="shared" si="3"/>
        <v>2533.3417999999992</v>
      </c>
    </row>
    <row r="33" spans="1:21" s="111" customFormat="1" ht="38.25" customHeight="1" x14ac:dyDescent="0.4">
      <c r="A33" s="240" t="s">
        <v>99</v>
      </c>
      <c r="B33" s="240"/>
      <c r="C33" s="141">
        <f>SUM(C29:C32)</f>
        <v>15788.215799999998</v>
      </c>
      <c r="D33" s="141">
        <f t="shared" ref="D33:U33" si="10">SUM(D29:D32)</f>
        <v>7.3879999999999999</v>
      </c>
      <c r="E33" s="141">
        <f t="shared" si="10"/>
        <v>145.62799999999999</v>
      </c>
      <c r="F33" s="141">
        <f t="shared" si="10"/>
        <v>0</v>
      </c>
      <c r="G33" s="141">
        <f t="shared" si="10"/>
        <v>9.73</v>
      </c>
      <c r="H33" s="141">
        <f t="shared" si="10"/>
        <v>15795.603800000001</v>
      </c>
      <c r="I33" s="141">
        <f t="shared" si="10"/>
        <v>522.80600000000004</v>
      </c>
      <c r="J33" s="141">
        <f t="shared" si="10"/>
        <v>1.74</v>
      </c>
      <c r="K33" s="141">
        <f t="shared" si="10"/>
        <v>3.5630000000000002</v>
      </c>
      <c r="L33" s="141">
        <f t="shared" si="10"/>
        <v>0</v>
      </c>
      <c r="M33" s="141">
        <f t="shared" si="10"/>
        <v>0</v>
      </c>
      <c r="N33" s="141">
        <f t="shared" si="10"/>
        <v>524.54600000000005</v>
      </c>
      <c r="O33" s="141">
        <f t="shared" si="10"/>
        <v>140.172</v>
      </c>
      <c r="P33" s="141">
        <f t="shared" si="10"/>
        <v>0</v>
      </c>
      <c r="Q33" s="141">
        <f t="shared" si="10"/>
        <v>0</v>
      </c>
      <c r="R33" s="141">
        <f t="shared" si="10"/>
        <v>0</v>
      </c>
      <c r="S33" s="141">
        <f t="shared" si="10"/>
        <v>0</v>
      </c>
      <c r="T33" s="141">
        <f t="shared" si="10"/>
        <v>140.172</v>
      </c>
      <c r="U33" s="141">
        <f t="shared" si="10"/>
        <v>16460.321800000002</v>
      </c>
    </row>
    <row r="34" spans="1:21" ht="38.25" customHeight="1" x14ac:dyDescent="0.35">
      <c r="A34" s="171">
        <v>21</v>
      </c>
      <c r="B34" s="172" t="s">
        <v>103</v>
      </c>
      <c r="C34" s="139">
        <v>4596.7299999999996</v>
      </c>
      <c r="D34" s="139">
        <v>7.64</v>
      </c>
      <c r="E34" s="139">
        <f>'[5]April 2023'!E34+'[5]May 23'!D34</f>
        <v>17.62</v>
      </c>
      <c r="F34" s="139">
        <v>0</v>
      </c>
      <c r="G34" s="139">
        <f>'[5]April 2023'!G34+'[5]May 23'!F34</f>
        <v>0</v>
      </c>
      <c r="H34" s="139">
        <f t="shared" si="0"/>
        <v>4604.37</v>
      </c>
      <c r="I34" s="139">
        <v>108.16999999999999</v>
      </c>
      <c r="J34" s="139">
        <v>0</v>
      </c>
      <c r="K34" s="139">
        <f>'[5]April 2023'!K34+'[5]May 23'!J34</f>
        <v>0.09</v>
      </c>
      <c r="L34" s="139">
        <v>0</v>
      </c>
      <c r="M34" s="139">
        <f>'[5]April 2023'!M34+'[5]May 23'!L34</f>
        <v>0</v>
      </c>
      <c r="N34" s="139">
        <f t="shared" si="1"/>
        <v>108.16999999999999</v>
      </c>
      <c r="O34" s="139">
        <v>72.7</v>
      </c>
      <c r="P34" s="139">
        <v>0</v>
      </c>
      <c r="Q34" s="139">
        <f>'[5]April 2023'!Q34+'[5]May 23'!P34</f>
        <v>0</v>
      </c>
      <c r="R34" s="139">
        <v>0</v>
      </c>
      <c r="S34" s="139">
        <f>'[5]April 2023'!S34+'[5]May 23'!R34</f>
        <v>0</v>
      </c>
      <c r="T34" s="139">
        <f t="shared" si="2"/>
        <v>72.7</v>
      </c>
      <c r="U34" s="139">
        <f t="shared" si="3"/>
        <v>4785.24</v>
      </c>
    </row>
    <row r="35" spans="1:21" ht="38.25" customHeight="1" x14ac:dyDescent="0.35">
      <c r="A35" s="171">
        <v>22</v>
      </c>
      <c r="B35" s="172" t="s">
        <v>104</v>
      </c>
      <c r="C35" s="139">
        <v>6705.1199999999981</v>
      </c>
      <c r="D35" s="139">
        <f>6.51+14.73</f>
        <v>21.240000000000002</v>
      </c>
      <c r="E35" s="139">
        <f>'[5]April 2023'!E35+'[5]May 23'!D35</f>
        <v>42.74</v>
      </c>
      <c r="F35" s="139">
        <v>0</v>
      </c>
      <c r="G35" s="139">
        <f>'[5]April 2023'!G35+'[5]May 23'!F35</f>
        <v>0</v>
      </c>
      <c r="H35" s="139">
        <f t="shared" si="0"/>
        <v>6726.3599999999979</v>
      </c>
      <c r="I35" s="139">
        <v>34.17</v>
      </c>
      <c r="J35" s="139">
        <v>0</v>
      </c>
      <c r="K35" s="139">
        <f>'[5]April 2023'!K35+'[5]May 23'!J35</f>
        <v>0.04</v>
      </c>
      <c r="L35" s="139">
        <v>0</v>
      </c>
      <c r="M35" s="139">
        <f>'[5]April 2023'!M35+'[5]May 23'!L35</f>
        <v>0</v>
      </c>
      <c r="N35" s="139">
        <f t="shared" si="1"/>
        <v>34.17</v>
      </c>
      <c r="O35" s="139">
        <v>90.800000000000011</v>
      </c>
      <c r="P35" s="139">
        <v>0</v>
      </c>
      <c r="Q35" s="139">
        <f>'[5]April 2023'!Q35+'[5]May 23'!P35</f>
        <v>0</v>
      </c>
      <c r="R35" s="139">
        <v>0</v>
      </c>
      <c r="S35" s="139">
        <f>'[5]April 2023'!S35+'[5]May 23'!R35</f>
        <v>0</v>
      </c>
      <c r="T35" s="139">
        <f t="shared" si="2"/>
        <v>90.800000000000011</v>
      </c>
      <c r="U35" s="139">
        <f t="shared" si="3"/>
        <v>6851.3299999999981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3700.19</v>
      </c>
      <c r="D36" s="139">
        <v>0.69</v>
      </c>
      <c r="E36" s="139">
        <f>'[5]April 2023'!E36+'[5]May 23'!D36</f>
        <v>3.2199999999999998</v>
      </c>
      <c r="F36" s="139">
        <v>0</v>
      </c>
      <c r="G36" s="139">
        <f>'[5]April 2023'!G36+'[5]May 23'!F36</f>
        <v>0</v>
      </c>
      <c r="H36" s="139">
        <f t="shared" si="0"/>
        <v>3700.88</v>
      </c>
      <c r="I36" s="139">
        <v>30.250000000000039</v>
      </c>
      <c r="J36" s="139">
        <v>0</v>
      </c>
      <c r="K36" s="139">
        <f>'[5]April 2023'!K36+'[5]May 23'!J36</f>
        <v>0</v>
      </c>
      <c r="L36" s="139">
        <v>0</v>
      </c>
      <c r="M36" s="139">
        <f>'[5]April 2023'!M36+'[5]May 23'!L36</f>
        <v>0</v>
      </c>
      <c r="N36" s="139">
        <f t="shared" si="1"/>
        <v>30.250000000000039</v>
      </c>
      <c r="O36" s="139">
        <v>36.379999999999995</v>
      </c>
      <c r="P36" s="139">
        <v>0</v>
      </c>
      <c r="Q36" s="139">
        <f>'[5]April 2023'!Q36+'[5]May 23'!P36</f>
        <v>0</v>
      </c>
      <c r="R36" s="139">
        <v>0</v>
      </c>
      <c r="S36" s="139">
        <f>'[5]April 2023'!S36+'[5]May 23'!R36</f>
        <v>0</v>
      </c>
      <c r="T36" s="139">
        <f t="shared" si="2"/>
        <v>36.379999999999995</v>
      </c>
      <c r="U36" s="139">
        <f t="shared" si="3"/>
        <v>3767.51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5100.0499999999984</v>
      </c>
      <c r="D37" s="139">
        <f>4.18+12.65</f>
        <v>16.829999999999998</v>
      </c>
      <c r="E37" s="139">
        <f>'[5]April 2023'!E37+'[5]May 23'!D37</f>
        <v>22.369999999999997</v>
      </c>
      <c r="F37" s="139">
        <v>0</v>
      </c>
      <c r="G37" s="139">
        <f>'[5]April 2023'!G37+'[5]May 23'!F37</f>
        <v>0</v>
      </c>
      <c r="H37" s="139">
        <f t="shared" si="0"/>
        <v>5116.8799999999983</v>
      </c>
      <c r="I37" s="139">
        <v>26.700000000000003</v>
      </c>
      <c r="J37" s="139">
        <v>0</v>
      </c>
      <c r="K37" s="139">
        <f>'[5]April 2023'!K37+'[5]May 23'!J37</f>
        <v>0</v>
      </c>
      <c r="L37" s="139">
        <v>0</v>
      </c>
      <c r="M37" s="139">
        <f>'[5]April 2023'!M37+'[5]May 23'!L37</f>
        <v>0</v>
      </c>
      <c r="N37" s="139">
        <f t="shared" si="1"/>
        <v>26.700000000000003</v>
      </c>
      <c r="O37" s="139">
        <v>3.0599999999999996</v>
      </c>
      <c r="P37" s="139">
        <v>0</v>
      </c>
      <c r="Q37" s="139">
        <f>'[5]April 2023'!Q37+'[5]May 23'!P37</f>
        <v>0</v>
      </c>
      <c r="R37" s="139">
        <v>0</v>
      </c>
      <c r="S37" s="139">
        <f>'[5]April 2023'!S37+'[5]May 23'!R37</f>
        <v>0</v>
      </c>
      <c r="T37" s="139">
        <f t="shared" si="2"/>
        <v>3.0599999999999996</v>
      </c>
      <c r="U37" s="139">
        <f t="shared" si="3"/>
        <v>5146.6399999999985</v>
      </c>
    </row>
    <row r="38" spans="1:21" s="111" customFormat="1" ht="38.25" customHeight="1" x14ac:dyDescent="0.4">
      <c r="A38" s="240" t="s">
        <v>107</v>
      </c>
      <c r="B38" s="240"/>
      <c r="C38" s="141">
        <f>SUM(C34:C37)</f>
        <v>20102.089999999997</v>
      </c>
      <c r="D38" s="141">
        <f t="shared" ref="D38:U38" si="11">SUM(D34:D37)</f>
        <v>46.400000000000006</v>
      </c>
      <c r="E38" s="141">
        <f t="shared" si="11"/>
        <v>85.949999999999989</v>
      </c>
      <c r="F38" s="141">
        <f t="shared" si="11"/>
        <v>0</v>
      </c>
      <c r="G38" s="141">
        <f t="shared" si="11"/>
        <v>0</v>
      </c>
      <c r="H38" s="141">
        <f t="shared" si="11"/>
        <v>20148.489999999994</v>
      </c>
      <c r="I38" s="141">
        <f t="shared" si="11"/>
        <v>199.29000000000002</v>
      </c>
      <c r="J38" s="141">
        <f t="shared" si="11"/>
        <v>0</v>
      </c>
      <c r="K38" s="141">
        <f t="shared" si="11"/>
        <v>0.13</v>
      </c>
      <c r="L38" s="141">
        <f t="shared" si="11"/>
        <v>0</v>
      </c>
      <c r="M38" s="141">
        <f t="shared" si="11"/>
        <v>0</v>
      </c>
      <c r="N38" s="141">
        <f t="shared" si="11"/>
        <v>199.29000000000002</v>
      </c>
      <c r="O38" s="141">
        <f t="shared" si="11"/>
        <v>202.94</v>
      </c>
      <c r="P38" s="141">
        <f t="shared" si="11"/>
        <v>0</v>
      </c>
      <c r="Q38" s="141">
        <f t="shared" si="11"/>
        <v>0</v>
      </c>
      <c r="R38" s="141">
        <f t="shared" si="11"/>
        <v>0</v>
      </c>
      <c r="S38" s="141">
        <f t="shared" si="11"/>
        <v>0</v>
      </c>
      <c r="T38" s="141">
        <f t="shared" si="11"/>
        <v>202.94</v>
      </c>
      <c r="U38" s="141">
        <f t="shared" si="11"/>
        <v>20550.719999999998</v>
      </c>
    </row>
    <row r="39" spans="1:21" s="145" customFormat="1" ht="38.25" customHeight="1" x14ac:dyDescent="0.4">
      <c r="A39" s="243" t="s">
        <v>108</v>
      </c>
      <c r="B39" s="243"/>
      <c r="C39" s="141">
        <f>C38+C33+C28</f>
        <v>43217.190799999997</v>
      </c>
      <c r="D39" s="141">
        <f t="shared" ref="D39:U39" si="12">D38+D33+D28</f>
        <v>69.418000000000006</v>
      </c>
      <c r="E39" s="141">
        <f t="shared" si="12"/>
        <v>260.44799999999998</v>
      </c>
      <c r="F39" s="141">
        <f t="shared" si="12"/>
        <v>0</v>
      </c>
      <c r="G39" s="141">
        <f t="shared" si="12"/>
        <v>9.75</v>
      </c>
      <c r="H39" s="141">
        <f t="shared" si="12"/>
        <v>43286.608800000002</v>
      </c>
      <c r="I39" s="141">
        <f t="shared" si="12"/>
        <v>1479.0039999999999</v>
      </c>
      <c r="J39" s="141">
        <f t="shared" si="12"/>
        <v>2.81</v>
      </c>
      <c r="K39" s="141">
        <f t="shared" si="12"/>
        <v>5.9630000000000001</v>
      </c>
      <c r="L39" s="141">
        <f t="shared" si="12"/>
        <v>0</v>
      </c>
      <c r="M39" s="141">
        <f t="shared" si="12"/>
        <v>0.02</v>
      </c>
      <c r="N39" s="141">
        <f t="shared" si="12"/>
        <v>1481.8139999999999</v>
      </c>
      <c r="O39" s="141">
        <f t="shared" si="12"/>
        <v>393.28199999999998</v>
      </c>
      <c r="P39" s="141">
        <f t="shared" si="12"/>
        <v>0.12</v>
      </c>
      <c r="Q39" s="141">
        <f t="shared" si="12"/>
        <v>0.12</v>
      </c>
      <c r="R39" s="141">
        <f t="shared" si="12"/>
        <v>0</v>
      </c>
      <c r="S39" s="141">
        <f t="shared" si="12"/>
        <v>0</v>
      </c>
      <c r="T39" s="141">
        <f t="shared" si="12"/>
        <v>393.40199999999999</v>
      </c>
      <c r="U39" s="141">
        <f t="shared" si="12"/>
        <v>45161.824800000002</v>
      </c>
    </row>
    <row r="40" spans="1:21" ht="38.25" customHeight="1" x14ac:dyDescent="0.35">
      <c r="A40" s="171">
        <v>25</v>
      </c>
      <c r="B40" s="172" t="s">
        <v>109</v>
      </c>
      <c r="C40" s="139">
        <v>11866.623999999998</v>
      </c>
      <c r="D40" s="139">
        <v>10.8</v>
      </c>
      <c r="E40" s="139">
        <f>'[5]April 2023'!E40+'[5]May 23'!D40</f>
        <v>19.8</v>
      </c>
      <c r="F40" s="139">
        <v>0</v>
      </c>
      <c r="G40" s="139">
        <f>'[5]April 2023'!G40+'[5]May 23'!F40</f>
        <v>0</v>
      </c>
      <c r="H40" s="139">
        <f t="shared" si="0"/>
        <v>11877.423999999997</v>
      </c>
      <c r="I40" s="139">
        <v>198.73</v>
      </c>
      <c r="J40" s="139">
        <v>0</v>
      </c>
      <c r="K40" s="139">
        <f>'[5]April 2023'!K40+'[5]May 23'!J40</f>
        <v>0</v>
      </c>
      <c r="L40" s="139">
        <v>0</v>
      </c>
      <c r="M40" s="139">
        <f>'[5]April 2023'!M40+'[5]May 23'!L40</f>
        <v>0</v>
      </c>
      <c r="N40" s="139">
        <f t="shared" si="1"/>
        <v>198.73</v>
      </c>
      <c r="O40" s="139">
        <v>106.93</v>
      </c>
      <c r="P40" s="139">
        <v>0</v>
      </c>
      <c r="Q40" s="139">
        <f>'[5]April 2023'!Q40+'[5]May 23'!P40</f>
        <v>0</v>
      </c>
      <c r="R40" s="139">
        <v>0</v>
      </c>
      <c r="S40" s="139">
        <f>'[5]April 2023'!S40+'[5]May 23'!R40</f>
        <v>0</v>
      </c>
      <c r="T40" s="139">
        <f t="shared" si="2"/>
        <v>106.93</v>
      </c>
      <c r="U40" s="139">
        <f t="shared" si="3"/>
        <v>12183.083999999997</v>
      </c>
    </row>
    <row r="41" spans="1:21" ht="38.25" customHeight="1" x14ac:dyDescent="0.35">
      <c r="A41" s="171">
        <v>26</v>
      </c>
      <c r="B41" s="172" t="s">
        <v>110</v>
      </c>
      <c r="C41" s="139">
        <v>8447.4389999999948</v>
      </c>
      <c r="D41" s="139">
        <f>8.37+53.22</f>
        <v>61.589999999999996</v>
      </c>
      <c r="E41" s="139">
        <f>'[5]April 2023'!E41+'[5]May 23'!D41</f>
        <v>61.629999999999995</v>
      </c>
      <c r="F41" s="139">
        <v>0</v>
      </c>
      <c r="G41" s="139">
        <f>'[5]April 2023'!G41+'[5]May 23'!F41</f>
        <v>0</v>
      </c>
      <c r="H41" s="139">
        <f t="shared" si="0"/>
        <v>8509.028999999995</v>
      </c>
      <c r="I41" s="139">
        <v>8.67</v>
      </c>
      <c r="J41" s="139">
        <v>0</v>
      </c>
      <c r="K41" s="139">
        <f>'[5]April 2023'!K41+'[5]May 23'!J41</f>
        <v>0</v>
      </c>
      <c r="L41" s="139">
        <v>0</v>
      </c>
      <c r="M41" s="139">
        <f>'[5]April 2023'!M41+'[5]May 23'!L41</f>
        <v>0</v>
      </c>
      <c r="N41" s="139">
        <f t="shared" si="1"/>
        <v>8.67</v>
      </c>
      <c r="O41" s="139">
        <v>141.29000000000002</v>
      </c>
      <c r="P41" s="139">
        <v>0</v>
      </c>
      <c r="Q41" s="139">
        <f>'[5]April 2023'!Q41+'[5]May 23'!P41</f>
        <v>0</v>
      </c>
      <c r="R41" s="139">
        <v>0</v>
      </c>
      <c r="S41" s="139">
        <f>'[5]April 2023'!S41+'[5]May 23'!R41</f>
        <v>0</v>
      </c>
      <c r="T41" s="139">
        <f t="shared" si="2"/>
        <v>141.29000000000002</v>
      </c>
      <c r="U41" s="139">
        <f t="shared" si="3"/>
        <v>8658.9889999999959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13962.702999999996</v>
      </c>
      <c r="D42" s="139">
        <v>31.43</v>
      </c>
      <c r="E42" s="139">
        <f>'[5]April 2023'!E42+'[5]May 23'!D42</f>
        <v>40.46</v>
      </c>
      <c r="F42" s="139">
        <v>0</v>
      </c>
      <c r="G42" s="139">
        <f>'[5]April 2023'!G42+'[5]May 23'!F42</f>
        <v>0</v>
      </c>
      <c r="H42" s="139">
        <f t="shared" si="0"/>
        <v>13994.132999999996</v>
      </c>
      <c r="I42" s="139">
        <v>15.62</v>
      </c>
      <c r="J42" s="139">
        <v>0</v>
      </c>
      <c r="K42" s="139">
        <f>'[5]April 2023'!K42+'[5]May 23'!J42</f>
        <v>0</v>
      </c>
      <c r="L42" s="139">
        <v>0</v>
      </c>
      <c r="M42" s="139">
        <f>'[5]April 2023'!M42+'[5]May 23'!L42</f>
        <v>0</v>
      </c>
      <c r="N42" s="139">
        <f t="shared" si="1"/>
        <v>15.62</v>
      </c>
      <c r="O42" s="139">
        <v>205.35</v>
      </c>
      <c r="P42" s="139">
        <v>0</v>
      </c>
      <c r="Q42" s="139">
        <f>'[5]April 2023'!Q42+'[5]May 23'!P42</f>
        <v>0</v>
      </c>
      <c r="R42" s="139">
        <v>0</v>
      </c>
      <c r="S42" s="139">
        <f>'[5]April 2023'!S42+'[5]May 23'!R42</f>
        <v>0</v>
      </c>
      <c r="T42" s="139">
        <f t="shared" si="2"/>
        <v>205.35</v>
      </c>
      <c r="U42" s="139">
        <f t="shared" si="3"/>
        <v>14215.102999999997</v>
      </c>
    </row>
    <row r="43" spans="1:21" ht="38.25" customHeight="1" x14ac:dyDescent="0.35">
      <c r="A43" s="171">
        <v>28</v>
      </c>
      <c r="B43" s="172" t="s">
        <v>112</v>
      </c>
      <c r="C43" s="139">
        <v>4215.9400000000005</v>
      </c>
      <c r="D43" s="139">
        <f>12.1+49.67</f>
        <v>61.77</v>
      </c>
      <c r="E43" s="139">
        <f>'[5]April 2023'!E43+'[5]May 23'!D43</f>
        <v>75.75</v>
      </c>
      <c r="F43" s="139">
        <v>0</v>
      </c>
      <c r="G43" s="139">
        <f>'[5]April 2023'!G43+'[5]May 23'!F43</f>
        <v>0</v>
      </c>
      <c r="H43" s="139">
        <f t="shared" si="0"/>
        <v>4277.7100000000009</v>
      </c>
      <c r="I43" s="139">
        <v>3.5</v>
      </c>
      <c r="J43" s="139">
        <v>0</v>
      </c>
      <c r="K43" s="139">
        <f>'[5]April 2023'!K43+'[5]May 23'!J43</f>
        <v>0</v>
      </c>
      <c r="L43" s="139">
        <v>0</v>
      </c>
      <c r="M43" s="139">
        <f>'[5]April 2023'!M43+'[5]May 23'!L43</f>
        <v>0</v>
      </c>
      <c r="N43" s="139">
        <f t="shared" si="1"/>
        <v>3.5</v>
      </c>
      <c r="O43" s="139">
        <v>29.8</v>
      </c>
      <c r="P43" s="139">
        <v>0</v>
      </c>
      <c r="Q43" s="139">
        <f>'[5]April 2023'!Q43+'[5]May 23'!P43</f>
        <v>0</v>
      </c>
      <c r="R43" s="139">
        <v>0</v>
      </c>
      <c r="S43" s="139">
        <f>'[5]April 2023'!S43+'[5]May 23'!R43</f>
        <v>0</v>
      </c>
      <c r="T43" s="139">
        <f t="shared" si="2"/>
        <v>29.8</v>
      </c>
      <c r="U43" s="139">
        <f t="shared" si="3"/>
        <v>4311.0100000000011</v>
      </c>
    </row>
    <row r="44" spans="1:21" s="111" customFormat="1" ht="38.25" customHeight="1" x14ac:dyDescent="0.4">
      <c r="A44" s="240" t="s">
        <v>109</v>
      </c>
      <c r="B44" s="240"/>
      <c r="C44" s="141">
        <f>SUM(C40:C43)</f>
        <v>38492.705999999991</v>
      </c>
      <c r="D44" s="141">
        <f t="shared" ref="D44:U44" si="13">SUM(D40:D43)</f>
        <v>165.59</v>
      </c>
      <c r="E44" s="141">
        <f t="shared" si="13"/>
        <v>197.64</v>
      </c>
      <c r="F44" s="141">
        <f t="shared" si="13"/>
        <v>0</v>
      </c>
      <c r="G44" s="141">
        <f t="shared" si="13"/>
        <v>0</v>
      </c>
      <c r="H44" s="141">
        <f t="shared" si="13"/>
        <v>38658.295999999988</v>
      </c>
      <c r="I44" s="141">
        <f t="shared" si="13"/>
        <v>226.51999999999998</v>
      </c>
      <c r="J44" s="141">
        <f t="shared" si="13"/>
        <v>0</v>
      </c>
      <c r="K44" s="141">
        <f t="shared" si="13"/>
        <v>0</v>
      </c>
      <c r="L44" s="141">
        <f t="shared" si="13"/>
        <v>0</v>
      </c>
      <c r="M44" s="141">
        <f t="shared" si="13"/>
        <v>0</v>
      </c>
      <c r="N44" s="141">
        <f t="shared" si="13"/>
        <v>226.51999999999998</v>
      </c>
      <c r="O44" s="141">
        <f t="shared" si="13"/>
        <v>483.37000000000006</v>
      </c>
      <c r="P44" s="141">
        <f t="shared" si="13"/>
        <v>0</v>
      </c>
      <c r="Q44" s="141">
        <f t="shared" si="13"/>
        <v>0</v>
      </c>
      <c r="R44" s="141">
        <f t="shared" si="13"/>
        <v>0</v>
      </c>
      <c r="S44" s="141">
        <f t="shared" si="13"/>
        <v>0</v>
      </c>
      <c r="T44" s="141">
        <f t="shared" si="13"/>
        <v>483.37000000000006</v>
      </c>
      <c r="U44" s="141">
        <f t="shared" si="13"/>
        <v>39368.185999999994</v>
      </c>
    </row>
    <row r="45" spans="1:21" ht="38.25" customHeight="1" x14ac:dyDescent="0.35">
      <c r="A45" s="171">
        <v>29</v>
      </c>
      <c r="B45" s="172" t="s">
        <v>113</v>
      </c>
      <c r="C45" s="139">
        <v>8395.8620999999985</v>
      </c>
      <c r="D45" s="139">
        <v>26.59</v>
      </c>
      <c r="E45" s="139">
        <f>'[5]April 2023'!E45+'[5]May 23'!D45</f>
        <v>58.64</v>
      </c>
      <c r="F45" s="139">
        <v>0</v>
      </c>
      <c r="G45" s="139">
        <f>'[5]April 2023'!G45+'[5]May 23'!F45</f>
        <v>0</v>
      </c>
      <c r="H45" s="139">
        <f t="shared" si="0"/>
        <v>8422.4520999999986</v>
      </c>
      <c r="I45" s="139">
        <v>261.04999999999995</v>
      </c>
      <c r="J45" s="139">
        <v>0.02</v>
      </c>
      <c r="K45" s="139">
        <f>'[5]April 2023'!K45+'[5]May 23'!J45</f>
        <v>0.02</v>
      </c>
      <c r="L45" s="139">
        <v>0</v>
      </c>
      <c r="M45" s="139">
        <f>'[5]April 2023'!M45+'[5]May 23'!L45</f>
        <v>0</v>
      </c>
      <c r="N45" s="139">
        <f t="shared" si="1"/>
        <v>261.06999999999994</v>
      </c>
      <c r="O45" s="139">
        <v>84.45</v>
      </c>
      <c r="P45" s="139">
        <v>0</v>
      </c>
      <c r="Q45" s="139">
        <f>'[5]April 2023'!Q45+'[5]May 23'!P45</f>
        <v>0.06</v>
      </c>
      <c r="R45" s="139">
        <v>0</v>
      </c>
      <c r="S45" s="139">
        <f>'[5]April 2023'!S45+'[5]May 23'!R45</f>
        <v>0</v>
      </c>
      <c r="T45" s="139">
        <f t="shared" si="2"/>
        <v>84.45</v>
      </c>
      <c r="U45" s="139">
        <f t="shared" si="3"/>
        <v>8767.972099999999</v>
      </c>
    </row>
    <row r="46" spans="1:21" ht="38.25" customHeight="1" x14ac:dyDescent="0.35">
      <c r="A46" s="171">
        <v>30</v>
      </c>
      <c r="B46" s="172" t="s">
        <v>114</v>
      </c>
      <c r="C46" s="139">
        <v>7998.8950000000013</v>
      </c>
      <c r="D46" s="139">
        <v>13.96</v>
      </c>
      <c r="E46" s="139">
        <f>'[5]April 2023'!E46+'[5]May 23'!D46</f>
        <v>65.62</v>
      </c>
      <c r="F46" s="139">
        <v>0</v>
      </c>
      <c r="G46" s="139">
        <f>'[5]April 2023'!G46+'[5]May 23'!F46</f>
        <v>0</v>
      </c>
      <c r="H46" s="139">
        <f t="shared" si="0"/>
        <v>8012.8550000000014</v>
      </c>
      <c r="I46" s="139">
        <v>0</v>
      </c>
      <c r="J46" s="139">
        <v>0</v>
      </c>
      <c r="K46" s="139">
        <f>'[5]April 2023'!K46+'[5]May 23'!J46</f>
        <v>0</v>
      </c>
      <c r="L46" s="139">
        <v>0</v>
      </c>
      <c r="M46" s="139">
        <f>'[5]April 2023'!M46+'[5]May 23'!L46</f>
        <v>0</v>
      </c>
      <c r="N46" s="139">
        <f t="shared" si="1"/>
        <v>0</v>
      </c>
      <c r="O46" s="139">
        <v>47.03</v>
      </c>
      <c r="P46" s="139">
        <v>0</v>
      </c>
      <c r="Q46" s="139">
        <f>'[5]April 2023'!Q46+'[5]May 23'!P46</f>
        <v>0</v>
      </c>
      <c r="R46" s="139">
        <v>0</v>
      </c>
      <c r="S46" s="139">
        <f>'[5]April 2023'!S46+'[5]May 23'!R46</f>
        <v>0</v>
      </c>
      <c r="T46" s="139">
        <f t="shared" si="2"/>
        <v>47.03</v>
      </c>
      <c r="U46" s="139">
        <f t="shared" si="3"/>
        <v>8059.8850000000011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9324.2599999999966</v>
      </c>
      <c r="D47" s="139">
        <v>3.88</v>
      </c>
      <c r="E47" s="139">
        <f>'[5]April 2023'!E47+'[5]May 23'!D47</f>
        <v>250.44</v>
      </c>
      <c r="F47" s="139">
        <v>0</v>
      </c>
      <c r="G47" s="139">
        <f>'[5]April 2023'!G47+'[5]May 23'!F47</f>
        <v>0</v>
      </c>
      <c r="H47" s="139">
        <f t="shared" si="0"/>
        <v>9328.1399999999958</v>
      </c>
      <c r="I47" s="139">
        <v>3.13</v>
      </c>
      <c r="J47" s="139">
        <v>0</v>
      </c>
      <c r="K47" s="139">
        <f>'[5]April 2023'!K47+'[5]May 23'!J47</f>
        <v>0</v>
      </c>
      <c r="L47" s="139">
        <v>0</v>
      </c>
      <c r="M47" s="139">
        <f>'[5]April 2023'!M47+'[5]May 23'!L47</f>
        <v>0</v>
      </c>
      <c r="N47" s="139">
        <f t="shared" si="1"/>
        <v>3.13</v>
      </c>
      <c r="O47" s="139">
        <v>118.94999999999999</v>
      </c>
      <c r="P47" s="139">
        <v>0</v>
      </c>
      <c r="Q47" s="139">
        <f>'[5]April 2023'!Q47+'[5]May 23'!P47</f>
        <v>0</v>
      </c>
      <c r="R47" s="139">
        <v>0</v>
      </c>
      <c r="S47" s="139">
        <f>'[5]April 2023'!S47+'[5]May 23'!R47</f>
        <v>0</v>
      </c>
      <c r="T47" s="139">
        <f t="shared" si="2"/>
        <v>118.94999999999999</v>
      </c>
      <c r="U47" s="139">
        <f t="shared" si="3"/>
        <v>9450.2199999999957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8638.1289999999972</v>
      </c>
      <c r="D48" s="139">
        <v>3.7</v>
      </c>
      <c r="E48" s="139">
        <f>'[5]April 2023'!E48+'[5]May 23'!D48</f>
        <v>35.880000000000003</v>
      </c>
      <c r="F48" s="139">
        <v>0</v>
      </c>
      <c r="G48" s="139">
        <f>'[5]April 2023'!G48+'[5]May 23'!F48</f>
        <v>0</v>
      </c>
      <c r="H48" s="139">
        <f t="shared" si="0"/>
        <v>8641.8289999999979</v>
      </c>
      <c r="I48" s="139">
        <v>5.0249999999999995</v>
      </c>
      <c r="J48" s="139">
        <v>0</v>
      </c>
      <c r="K48" s="139">
        <f>'[5]April 2023'!K48+'[5]May 23'!J48</f>
        <v>0</v>
      </c>
      <c r="L48" s="139">
        <v>0</v>
      </c>
      <c r="M48" s="139">
        <f>'[5]April 2023'!M48+'[5]May 23'!L48</f>
        <v>0</v>
      </c>
      <c r="N48" s="139">
        <f t="shared" si="1"/>
        <v>5.0249999999999995</v>
      </c>
      <c r="O48" s="139">
        <v>4.21</v>
      </c>
      <c r="P48" s="139">
        <v>0</v>
      </c>
      <c r="Q48" s="139">
        <f>'[5]April 2023'!Q48+'[5]May 23'!P48</f>
        <v>0</v>
      </c>
      <c r="R48" s="139">
        <v>0</v>
      </c>
      <c r="S48" s="139">
        <f>'[5]April 2023'!S48+'[5]May 23'!R48</f>
        <v>0</v>
      </c>
      <c r="T48" s="139">
        <f t="shared" si="2"/>
        <v>4.21</v>
      </c>
      <c r="U48" s="139">
        <f t="shared" si="3"/>
        <v>8651.0639999999967</v>
      </c>
    </row>
    <row r="49" spans="1:21" s="111" customFormat="1" ht="38.25" customHeight="1" x14ac:dyDescent="0.4">
      <c r="A49" s="240" t="s">
        <v>117</v>
      </c>
      <c r="B49" s="240"/>
      <c r="C49" s="141">
        <f>SUM(C45:C48)</f>
        <v>34357.146099999998</v>
      </c>
      <c r="D49" s="141">
        <f t="shared" ref="D49:U49" si="14">SUM(D45:D48)</f>
        <v>48.13</v>
      </c>
      <c r="E49" s="141">
        <f t="shared" si="14"/>
        <v>410.58</v>
      </c>
      <c r="F49" s="141">
        <f t="shared" si="14"/>
        <v>0</v>
      </c>
      <c r="G49" s="141">
        <f t="shared" si="14"/>
        <v>0</v>
      </c>
      <c r="H49" s="141">
        <f t="shared" si="14"/>
        <v>34405.276099999988</v>
      </c>
      <c r="I49" s="141">
        <f t="shared" si="14"/>
        <v>269.20499999999993</v>
      </c>
      <c r="J49" s="141">
        <f t="shared" si="14"/>
        <v>0.02</v>
      </c>
      <c r="K49" s="141">
        <f t="shared" si="14"/>
        <v>0.02</v>
      </c>
      <c r="L49" s="141">
        <f t="shared" si="14"/>
        <v>0</v>
      </c>
      <c r="M49" s="141">
        <f t="shared" si="14"/>
        <v>0</v>
      </c>
      <c r="N49" s="141">
        <f t="shared" si="14"/>
        <v>269.22499999999991</v>
      </c>
      <c r="O49" s="141">
        <f t="shared" si="14"/>
        <v>254.64000000000001</v>
      </c>
      <c r="P49" s="141">
        <f t="shared" si="14"/>
        <v>0</v>
      </c>
      <c r="Q49" s="141">
        <f t="shared" si="14"/>
        <v>0.06</v>
      </c>
      <c r="R49" s="141">
        <f t="shared" si="14"/>
        <v>0</v>
      </c>
      <c r="S49" s="141">
        <f t="shared" si="14"/>
        <v>0</v>
      </c>
      <c r="T49" s="141">
        <f t="shared" si="14"/>
        <v>254.64000000000001</v>
      </c>
      <c r="U49" s="141">
        <f t="shared" si="14"/>
        <v>34929.141099999993</v>
      </c>
    </row>
    <row r="50" spans="1:21" s="145" customFormat="1" ht="38.25" customHeight="1" x14ac:dyDescent="0.4">
      <c r="A50" s="243" t="s">
        <v>118</v>
      </c>
      <c r="B50" s="243"/>
      <c r="C50" s="141">
        <f>C49+C44</f>
        <v>72849.852099999989</v>
      </c>
      <c r="D50" s="141">
        <f t="shared" ref="D50:U50" si="15">D49+D44</f>
        <v>213.72</v>
      </c>
      <c r="E50" s="141">
        <f t="shared" si="15"/>
        <v>608.22</v>
      </c>
      <c r="F50" s="141">
        <f t="shared" si="15"/>
        <v>0</v>
      </c>
      <c r="G50" s="141">
        <f t="shared" si="15"/>
        <v>0</v>
      </c>
      <c r="H50" s="141">
        <f t="shared" si="15"/>
        <v>73063.572099999976</v>
      </c>
      <c r="I50" s="141">
        <f t="shared" si="15"/>
        <v>495.72499999999991</v>
      </c>
      <c r="J50" s="141">
        <f t="shared" si="15"/>
        <v>0.02</v>
      </c>
      <c r="K50" s="141">
        <f t="shared" si="15"/>
        <v>0.02</v>
      </c>
      <c r="L50" s="141">
        <f t="shared" si="15"/>
        <v>0</v>
      </c>
      <c r="M50" s="141">
        <f t="shared" si="15"/>
        <v>0</v>
      </c>
      <c r="N50" s="141">
        <f t="shared" si="15"/>
        <v>495.74499999999989</v>
      </c>
      <c r="O50" s="141">
        <f t="shared" si="15"/>
        <v>738.0100000000001</v>
      </c>
      <c r="P50" s="141">
        <f t="shared" si="15"/>
        <v>0</v>
      </c>
      <c r="Q50" s="141">
        <f t="shared" si="15"/>
        <v>0.06</v>
      </c>
      <c r="R50" s="141">
        <f t="shared" si="15"/>
        <v>0</v>
      </c>
      <c r="S50" s="141">
        <f t="shared" si="15"/>
        <v>0</v>
      </c>
      <c r="T50" s="141">
        <f t="shared" si="15"/>
        <v>738.0100000000001</v>
      </c>
      <c r="U50" s="141">
        <f t="shared" si="15"/>
        <v>74297.327099999995</v>
      </c>
    </row>
    <row r="51" spans="1:21" s="146" customFormat="1" ht="38.25" customHeight="1" x14ac:dyDescent="0.4">
      <c r="A51" s="237" t="s">
        <v>119</v>
      </c>
      <c r="B51" s="237"/>
      <c r="C51" s="141">
        <f>C50+C39+C25</f>
        <v>120008.08889999999</v>
      </c>
      <c r="D51" s="141">
        <f t="shared" ref="D51:U51" si="16">D50+D39+D25</f>
        <v>285.03800000000001</v>
      </c>
      <c r="E51" s="141">
        <f t="shared" si="16"/>
        <v>871.03800000000001</v>
      </c>
      <c r="F51" s="141">
        <f t="shared" si="16"/>
        <v>0</v>
      </c>
      <c r="G51" s="141">
        <f t="shared" si="16"/>
        <v>14.030000000000001</v>
      </c>
      <c r="H51" s="141">
        <f t="shared" si="16"/>
        <v>120293.12689999997</v>
      </c>
      <c r="I51" s="141">
        <f t="shared" si="16"/>
        <v>10950.99</v>
      </c>
      <c r="J51" s="141">
        <f t="shared" si="16"/>
        <v>56.472000000000008</v>
      </c>
      <c r="K51" s="141">
        <f t="shared" si="16"/>
        <v>98.63600000000001</v>
      </c>
      <c r="L51" s="141">
        <f t="shared" si="16"/>
        <v>0.43</v>
      </c>
      <c r="M51" s="141">
        <f t="shared" si="16"/>
        <v>0.49</v>
      </c>
      <c r="N51" s="141">
        <f t="shared" si="16"/>
        <v>11007.032000000001</v>
      </c>
      <c r="O51" s="141">
        <f t="shared" si="16"/>
        <v>1677.3300000000002</v>
      </c>
      <c r="P51" s="141">
        <f t="shared" si="16"/>
        <v>1.3900000000000001</v>
      </c>
      <c r="Q51" s="141">
        <f t="shared" si="16"/>
        <v>1.48</v>
      </c>
      <c r="R51" s="141">
        <f t="shared" si="16"/>
        <v>0.45999999999999996</v>
      </c>
      <c r="S51" s="141">
        <f t="shared" si="16"/>
        <v>0.45999999999999996</v>
      </c>
      <c r="T51" s="141">
        <f t="shared" si="16"/>
        <v>1678.2600000000002</v>
      </c>
      <c r="U51" s="141">
        <f t="shared" si="16"/>
        <v>132978.41889999999</v>
      </c>
    </row>
    <row r="52" spans="1:21" s="111" customFormat="1" ht="24" customHeight="1" x14ac:dyDescent="0.4">
      <c r="A52" s="115"/>
      <c r="B52" s="115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</row>
    <row r="53" spans="1:21" s="111" customFormat="1" ht="19.5" customHeight="1" x14ac:dyDescent="0.4">
      <c r="A53" s="115"/>
      <c r="B53" s="115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</row>
    <row r="54" spans="1:21" s="115" customFormat="1" ht="24.75" hidden="1" customHeight="1" x14ac:dyDescent="0.4">
      <c r="B54" s="174"/>
      <c r="C54" s="189" t="s">
        <v>54</v>
      </c>
      <c r="D54" s="189"/>
      <c r="E54" s="189"/>
      <c r="F54" s="189"/>
      <c r="G54" s="189"/>
      <c r="H54" s="118"/>
      <c r="I54" s="174"/>
      <c r="J54" s="174">
        <f>D51+J51+P51-F51-L51-R51</f>
        <v>342.01</v>
      </c>
      <c r="K54" s="174"/>
      <c r="L54" s="174"/>
      <c r="M54" s="174"/>
      <c r="N54" s="174"/>
      <c r="R54" s="174"/>
      <c r="U54" s="174"/>
    </row>
    <row r="55" spans="1:21" s="115" customFormat="1" ht="30" hidden="1" customHeight="1" x14ac:dyDescent="0.35">
      <c r="B55" s="174"/>
      <c r="C55" s="189" t="s">
        <v>55</v>
      </c>
      <c r="D55" s="189"/>
      <c r="E55" s="189"/>
      <c r="F55" s="189"/>
      <c r="G55" s="189"/>
      <c r="H55" s="119"/>
      <c r="I55" s="174"/>
      <c r="J55" s="174">
        <f>E51+K51+Q51-G51-M51-S51</f>
        <v>956.17399999999998</v>
      </c>
      <c r="K55" s="174"/>
      <c r="L55" s="174"/>
      <c r="M55" s="174"/>
      <c r="N55" s="174"/>
      <c r="R55" s="174"/>
      <c r="T55" s="174"/>
    </row>
    <row r="56" spans="1:21" ht="33" hidden="1" customHeight="1" x14ac:dyDescent="0.5">
      <c r="C56" s="189" t="s">
        <v>56</v>
      </c>
      <c r="D56" s="189"/>
      <c r="E56" s="189"/>
      <c r="F56" s="189"/>
      <c r="G56" s="189"/>
      <c r="H56" s="119"/>
      <c r="I56" s="121"/>
      <c r="J56" s="174">
        <f>H51+N51+T51</f>
        <v>132978.41889999999</v>
      </c>
      <c r="K56" s="119"/>
      <c r="L56" s="119"/>
      <c r="M56" s="142" t="e">
        <f>#REF!+'Sep-2023'!J54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74"/>
      <c r="E57" s="174"/>
      <c r="F57" s="174"/>
      <c r="G57" s="174"/>
      <c r="H57" s="119"/>
      <c r="I57" s="121"/>
      <c r="J57" s="174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74"/>
      <c r="E58" s="174"/>
      <c r="F58" s="174"/>
      <c r="G58" s="174"/>
      <c r="H58" s="119"/>
      <c r="I58" s="121"/>
      <c r="J58" s="174"/>
      <c r="K58" s="119"/>
      <c r="L58" s="119"/>
      <c r="M58" s="142" t="e">
        <f>#REF!+'Sep-2023'!J54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32" t="s">
        <v>57</v>
      </c>
      <c r="C59" s="232"/>
      <c r="D59" s="232"/>
      <c r="E59" s="232"/>
      <c r="F59" s="232"/>
      <c r="G59" s="153"/>
      <c r="H59" s="154"/>
      <c r="I59" s="155"/>
      <c r="J59" s="234"/>
      <c r="K59" s="233"/>
      <c r="L59" s="233"/>
      <c r="M59" s="169" t="e">
        <f>#REF!+'Sep-2023'!J54</f>
        <v>#REF!</v>
      </c>
      <c r="N59" s="154"/>
      <c r="O59" s="154"/>
      <c r="P59" s="177"/>
      <c r="Q59" s="232" t="s">
        <v>58</v>
      </c>
      <c r="R59" s="232"/>
      <c r="S59" s="232"/>
      <c r="T59" s="232"/>
      <c r="U59" s="232"/>
    </row>
    <row r="60" spans="1:21" s="152" customFormat="1" ht="37.5" hidden="1" customHeight="1" x14ac:dyDescent="0.45">
      <c r="B60" s="232" t="s">
        <v>59</v>
      </c>
      <c r="C60" s="232"/>
      <c r="D60" s="232"/>
      <c r="E60" s="232"/>
      <c r="F60" s="232"/>
      <c r="G60" s="154"/>
      <c r="H60" s="153"/>
      <c r="I60" s="156"/>
      <c r="J60" s="157"/>
      <c r="K60" s="176"/>
      <c r="L60" s="157"/>
      <c r="M60" s="154"/>
      <c r="N60" s="153"/>
      <c r="O60" s="154"/>
      <c r="P60" s="177"/>
      <c r="Q60" s="232" t="s">
        <v>59</v>
      </c>
      <c r="R60" s="232"/>
      <c r="S60" s="232"/>
      <c r="T60" s="232"/>
      <c r="U60" s="232"/>
    </row>
    <row r="61" spans="1:21" s="152" customFormat="1" ht="37.5" hidden="1" customHeight="1" x14ac:dyDescent="0.45">
      <c r="I61" s="158"/>
      <c r="J61" s="233" t="s">
        <v>61</v>
      </c>
      <c r="K61" s="233"/>
      <c r="L61" s="233"/>
      <c r="M61" s="159" t="e">
        <f>#REF!+'Sep-2023'!J54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#REF!+'Sep-2023'!J54</f>
        <v>#REF!</v>
      </c>
      <c r="I62" s="158"/>
      <c r="J62" s="233" t="s">
        <v>62</v>
      </c>
      <c r="K62" s="233"/>
      <c r="L62" s="233"/>
      <c r="M62" s="159" t="e">
        <f>#REF!+'Sep-2023'!J54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R5:S5"/>
    <mergeCell ref="T5:T6"/>
    <mergeCell ref="I5:I6"/>
    <mergeCell ref="J5:K5"/>
    <mergeCell ref="L5:M5"/>
    <mergeCell ref="N5:N6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1:B11"/>
    <mergeCell ref="F5:G5"/>
    <mergeCell ref="H5:H6"/>
    <mergeCell ref="B60:F60"/>
    <mergeCell ref="Q60:U60"/>
    <mergeCell ref="J61:L61"/>
    <mergeCell ref="J62:L62"/>
    <mergeCell ref="C54:G54"/>
    <mergeCell ref="C55:G55"/>
    <mergeCell ref="C56:G56"/>
    <mergeCell ref="B59:F59"/>
    <mergeCell ref="J59:L59"/>
    <mergeCell ref="Q59:U5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opLeftCell="F34" zoomScale="40" zoomScaleNormal="40" workbookViewId="0">
      <selection activeCell="M67" sqref="M6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3" width="25.42578125" style="107" customWidth="1"/>
    <col min="14" max="14" width="27.7109375" style="107" bestFit="1" customWidth="1"/>
    <col min="15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.5703125" style="123" bestFit="1" customWidth="1"/>
    <col min="22" max="16384" width="9.140625" style="107"/>
  </cols>
  <sheetData>
    <row r="1" spans="1:21" ht="78" customHeight="1" x14ac:dyDescent="0.35">
      <c r="A1" s="246" t="s">
        <v>123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</row>
    <row r="2" spans="1:21" ht="54" customHeight="1" x14ac:dyDescent="0.35">
      <c r="A2" s="248" t="s">
        <v>136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1" ht="32.25" customHeight="1" x14ac:dyDescent="0.35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</row>
    <row r="4" spans="1:21" s="108" customFormat="1" ht="43.5" customHeight="1" x14ac:dyDescent="0.25">
      <c r="A4" s="250" t="s">
        <v>122</v>
      </c>
      <c r="B4" s="235" t="s">
        <v>121</v>
      </c>
      <c r="C4" s="192" t="s">
        <v>131</v>
      </c>
      <c r="D4" s="193"/>
      <c r="E4" s="193"/>
      <c r="F4" s="193"/>
      <c r="G4" s="193"/>
      <c r="H4" s="193"/>
      <c r="I4" s="192" t="s">
        <v>130</v>
      </c>
      <c r="J4" s="193"/>
      <c r="K4" s="193"/>
      <c r="L4" s="193"/>
      <c r="M4" s="193"/>
      <c r="N4" s="193"/>
      <c r="O4" s="192" t="s">
        <v>129</v>
      </c>
      <c r="P4" s="193"/>
      <c r="Q4" s="193"/>
      <c r="R4" s="193"/>
      <c r="S4" s="193"/>
      <c r="T4" s="193"/>
      <c r="U4" s="175"/>
    </row>
    <row r="5" spans="1:21" s="108" customFormat="1" ht="54.75" customHeight="1" x14ac:dyDescent="0.25">
      <c r="A5" s="252"/>
      <c r="B5" s="253"/>
      <c r="C5" s="244" t="s">
        <v>6</v>
      </c>
      <c r="D5" s="238" t="s">
        <v>127</v>
      </c>
      <c r="E5" s="239"/>
      <c r="F5" s="238" t="s">
        <v>126</v>
      </c>
      <c r="G5" s="239"/>
      <c r="H5" s="244" t="s">
        <v>9</v>
      </c>
      <c r="I5" s="244" t="s">
        <v>6</v>
      </c>
      <c r="J5" s="238" t="s">
        <v>127</v>
      </c>
      <c r="K5" s="239"/>
      <c r="L5" s="238" t="s">
        <v>126</v>
      </c>
      <c r="M5" s="239"/>
      <c r="N5" s="244" t="s">
        <v>9</v>
      </c>
      <c r="O5" s="244" t="s">
        <v>6</v>
      </c>
      <c r="P5" s="238" t="s">
        <v>127</v>
      </c>
      <c r="Q5" s="239"/>
      <c r="R5" s="238" t="s">
        <v>126</v>
      </c>
      <c r="S5" s="239"/>
      <c r="T5" s="244" t="s">
        <v>9</v>
      </c>
      <c r="U5" s="235" t="s">
        <v>128</v>
      </c>
    </row>
    <row r="6" spans="1:21" s="108" customFormat="1" ht="38.25" customHeight="1" x14ac:dyDescent="0.25">
      <c r="A6" s="252"/>
      <c r="B6" s="236"/>
      <c r="C6" s="245"/>
      <c r="D6" s="172" t="s">
        <v>124</v>
      </c>
      <c r="E6" s="172" t="s">
        <v>125</v>
      </c>
      <c r="F6" s="172" t="s">
        <v>124</v>
      </c>
      <c r="G6" s="172" t="s">
        <v>125</v>
      </c>
      <c r="H6" s="245"/>
      <c r="I6" s="245"/>
      <c r="J6" s="172" t="s">
        <v>124</v>
      </c>
      <c r="K6" s="172" t="s">
        <v>125</v>
      </c>
      <c r="L6" s="172" t="s">
        <v>124</v>
      </c>
      <c r="M6" s="172" t="s">
        <v>125</v>
      </c>
      <c r="N6" s="245"/>
      <c r="O6" s="245"/>
      <c r="P6" s="172" t="s">
        <v>124</v>
      </c>
      <c r="Q6" s="172" t="s">
        <v>125</v>
      </c>
      <c r="R6" s="172" t="s">
        <v>124</v>
      </c>
      <c r="S6" s="172" t="s">
        <v>125</v>
      </c>
      <c r="T6" s="245"/>
      <c r="U6" s="236"/>
    </row>
    <row r="7" spans="1:21" ht="38.25" customHeight="1" x14ac:dyDescent="0.35">
      <c r="A7" s="171">
        <v>1</v>
      </c>
      <c r="B7" s="172" t="s">
        <v>78</v>
      </c>
      <c r="C7" s="139">
        <v>7.179999999999982</v>
      </c>
      <c r="D7" s="139">
        <v>0</v>
      </c>
      <c r="E7" s="139">
        <f>'[5]May 23'!E7+'[5]June 23'!D7</f>
        <v>0</v>
      </c>
      <c r="F7" s="139">
        <v>0</v>
      </c>
      <c r="G7" s="139">
        <f>'[5]May 23'!G7+'[5]June 23'!F7</f>
        <v>0</v>
      </c>
      <c r="H7" s="139">
        <f>C7+D7-F7</f>
        <v>7.179999999999982</v>
      </c>
      <c r="I7" s="139">
        <v>719.82199999999978</v>
      </c>
      <c r="J7" s="139">
        <v>1.6850000000000001</v>
      </c>
      <c r="K7" s="139">
        <f>'[5]May 23'!K7+'[5]June 23'!J7</f>
        <v>7.0500000000000007</v>
      </c>
      <c r="L7" s="139">
        <v>0</v>
      </c>
      <c r="M7" s="139">
        <f>'[5]May 23'!M7+'[5]June 23'!L7</f>
        <v>0</v>
      </c>
      <c r="N7" s="139">
        <f>I7+J7-L7</f>
        <v>721.50699999999972</v>
      </c>
      <c r="O7" s="139">
        <v>8.436000000000007</v>
      </c>
      <c r="P7" s="139">
        <v>0</v>
      </c>
      <c r="Q7" s="139">
        <f>'[5]May 23'!Q7+'[5]June 23'!P7</f>
        <v>0</v>
      </c>
      <c r="R7" s="139">
        <v>0</v>
      </c>
      <c r="S7" s="139">
        <f>'[5]May 23'!S7+'[5]June 23'!R7</f>
        <v>0</v>
      </c>
      <c r="T7" s="139">
        <f>O7+P7-R7</f>
        <v>8.436000000000007</v>
      </c>
      <c r="U7" s="139">
        <f>H7+N7+T7</f>
        <v>737.12299999999971</v>
      </c>
    </row>
    <row r="8" spans="1:21" ht="38.25" customHeight="1" x14ac:dyDescent="0.35">
      <c r="A8" s="171">
        <v>2</v>
      </c>
      <c r="B8" s="172" t="s">
        <v>79</v>
      </c>
      <c r="C8" s="139">
        <v>265.98999999999995</v>
      </c>
      <c r="D8" s="139">
        <v>0</v>
      </c>
      <c r="E8" s="139">
        <f>'[5]May 23'!E8+'[5]June 23'!D8</f>
        <v>0</v>
      </c>
      <c r="F8" s="139">
        <v>0</v>
      </c>
      <c r="G8" s="139">
        <f>'[5]May 23'!G8+'[5]June 23'!F8</f>
        <v>0</v>
      </c>
      <c r="H8" s="139">
        <f t="shared" ref="H8:H48" si="0">C8+D8-F8</f>
        <v>265.98999999999995</v>
      </c>
      <c r="I8" s="139">
        <v>425.1810000000001</v>
      </c>
      <c r="J8" s="139">
        <v>6.41</v>
      </c>
      <c r="K8" s="139">
        <f>'[5]May 23'!K8+'[5]June 23'!J8</f>
        <v>33.445000000000007</v>
      </c>
      <c r="L8" s="139">
        <v>0</v>
      </c>
      <c r="M8" s="139">
        <f>'[5]May 23'!M8+'[5]June 23'!L8</f>
        <v>0</v>
      </c>
      <c r="N8" s="139">
        <f t="shared" ref="N8:N48" si="1">I8+J8-L8</f>
        <v>431.59100000000012</v>
      </c>
      <c r="O8" s="139">
        <v>66.290000000000006</v>
      </c>
      <c r="P8" s="139">
        <v>0</v>
      </c>
      <c r="Q8" s="139">
        <f>'[5]May 23'!Q8+'[5]June 23'!P8</f>
        <v>0</v>
      </c>
      <c r="R8" s="139">
        <v>0</v>
      </c>
      <c r="S8" s="139">
        <f>'[5]May 23'!S8+'[5]June 23'!R8</f>
        <v>0</v>
      </c>
      <c r="T8" s="139">
        <f t="shared" ref="T8:T48" si="2">O8+P8-R8</f>
        <v>66.290000000000006</v>
      </c>
      <c r="U8" s="139">
        <f t="shared" ref="U8:U48" si="3">H8+N8+T8</f>
        <v>763.87100000000009</v>
      </c>
    </row>
    <row r="9" spans="1:21" ht="38.25" customHeight="1" x14ac:dyDescent="0.35">
      <c r="A9" s="171">
        <v>3</v>
      </c>
      <c r="B9" s="172" t="s">
        <v>80</v>
      </c>
      <c r="C9" s="139">
        <v>209.16</v>
      </c>
      <c r="D9" s="139">
        <v>0</v>
      </c>
      <c r="E9" s="139">
        <f>'[5]May 23'!E9+'[5]June 23'!D9</f>
        <v>0</v>
      </c>
      <c r="F9" s="139">
        <v>0</v>
      </c>
      <c r="G9" s="139">
        <f>'[5]May 23'!G9+'[5]June 23'!F9</f>
        <v>0</v>
      </c>
      <c r="H9" s="139">
        <f t="shared" si="0"/>
        <v>209.16</v>
      </c>
      <c r="I9" s="139">
        <v>914.61799999999994</v>
      </c>
      <c r="J9" s="139">
        <v>8.8800000000000008</v>
      </c>
      <c r="K9" s="139">
        <f>'[5]May 23'!K9+'[5]June 23'!J9</f>
        <v>20.25</v>
      </c>
      <c r="L9" s="139">
        <v>0</v>
      </c>
      <c r="M9" s="139">
        <f>'[5]May 23'!M9+'[5]June 23'!L9</f>
        <v>0</v>
      </c>
      <c r="N9" s="139">
        <f t="shared" si="1"/>
        <v>923.49799999999993</v>
      </c>
      <c r="O9" s="139">
        <v>44.739999999999995</v>
      </c>
      <c r="P9" s="139">
        <v>0</v>
      </c>
      <c r="Q9" s="139">
        <f>'[5]May 23'!Q9+'[5]June 23'!P9</f>
        <v>0</v>
      </c>
      <c r="R9" s="139">
        <v>0</v>
      </c>
      <c r="S9" s="139">
        <f>'[5]May 23'!S9+'[5]June 23'!R9</f>
        <v>0</v>
      </c>
      <c r="T9" s="139">
        <f t="shared" si="2"/>
        <v>44.739999999999995</v>
      </c>
      <c r="U9" s="139">
        <f t="shared" si="3"/>
        <v>1177.3979999999999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0</v>
      </c>
      <c r="D10" s="139">
        <v>0</v>
      </c>
      <c r="E10" s="139">
        <f>'[5]May 23'!E10+'[5]June 23'!D10</f>
        <v>0</v>
      </c>
      <c r="F10" s="139">
        <v>0</v>
      </c>
      <c r="G10" s="139">
        <f>'[5]May 23'!G10+'[5]June 23'!F10</f>
        <v>0</v>
      </c>
      <c r="H10" s="139">
        <f t="shared" si="0"/>
        <v>0</v>
      </c>
      <c r="I10" s="139">
        <v>366.72099999999989</v>
      </c>
      <c r="J10" s="139">
        <v>1.28</v>
      </c>
      <c r="K10" s="139">
        <f>'[5]May 23'!K10+'[5]June 23'!J10</f>
        <v>3.0280000000000005</v>
      </c>
      <c r="L10" s="139">
        <v>0</v>
      </c>
      <c r="M10" s="139">
        <f>'[5]May 23'!M10+'[5]June 23'!L10</f>
        <v>0</v>
      </c>
      <c r="N10" s="139">
        <f t="shared" si="1"/>
        <v>368.00099999999986</v>
      </c>
      <c r="O10" s="139">
        <v>0.20000000000000007</v>
      </c>
      <c r="P10" s="139">
        <v>0</v>
      </c>
      <c r="Q10" s="139">
        <f>'[5]May 23'!Q10+'[5]June 23'!P10</f>
        <v>0</v>
      </c>
      <c r="R10" s="139">
        <v>0</v>
      </c>
      <c r="S10" s="139">
        <f>'[5]May 23'!S10+'[5]June 23'!R10</f>
        <v>0</v>
      </c>
      <c r="T10" s="139">
        <f t="shared" si="2"/>
        <v>0.20000000000000007</v>
      </c>
      <c r="U10" s="139">
        <f t="shared" si="3"/>
        <v>368.20099999999985</v>
      </c>
    </row>
    <row r="11" spans="1:21" s="111" customFormat="1" ht="38.25" customHeight="1" x14ac:dyDescent="0.4">
      <c r="A11" s="238" t="s">
        <v>82</v>
      </c>
      <c r="B11" s="239"/>
      <c r="C11" s="141">
        <f>SUM(C7:C10)</f>
        <v>482.32999999999993</v>
      </c>
      <c r="D11" s="141">
        <f t="shared" ref="D11:U11" si="4">SUM(D7:D10)</f>
        <v>0</v>
      </c>
      <c r="E11" s="141">
        <f t="shared" si="4"/>
        <v>0</v>
      </c>
      <c r="F11" s="141">
        <f t="shared" si="4"/>
        <v>0</v>
      </c>
      <c r="G11" s="141">
        <f t="shared" si="4"/>
        <v>0</v>
      </c>
      <c r="H11" s="141">
        <f t="shared" si="4"/>
        <v>482.32999999999993</v>
      </c>
      <c r="I11" s="141">
        <f t="shared" si="4"/>
        <v>2426.3420000000001</v>
      </c>
      <c r="J11" s="141">
        <f t="shared" si="4"/>
        <v>18.255000000000003</v>
      </c>
      <c r="K11" s="141">
        <f t="shared" si="4"/>
        <v>63.773000000000003</v>
      </c>
      <c r="L11" s="141">
        <f t="shared" si="4"/>
        <v>0</v>
      </c>
      <c r="M11" s="141">
        <f t="shared" si="4"/>
        <v>0</v>
      </c>
      <c r="N11" s="141">
        <f t="shared" si="4"/>
        <v>2444.5969999999998</v>
      </c>
      <c r="O11" s="141">
        <f t="shared" si="4"/>
        <v>119.66600000000001</v>
      </c>
      <c r="P11" s="141">
        <f t="shared" si="4"/>
        <v>0</v>
      </c>
      <c r="Q11" s="141">
        <f t="shared" si="4"/>
        <v>0</v>
      </c>
      <c r="R11" s="141">
        <f t="shared" si="4"/>
        <v>0</v>
      </c>
      <c r="S11" s="141">
        <f t="shared" si="4"/>
        <v>0</v>
      </c>
      <c r="T11" s="141">
        <f t="shared" si="4"/>
        <v>119.66600000000001</v>
      </c>
      <c r="U11" s="141">
        <f t="shared" si="4"/>
        <v>3046.5929999999998</v>
      </c>
    </row>
    <row r="12" spans="1:21" ht="38.25" customHeight="1" x14ac:dyDescent="0.35">
      <c r="A12" s="171">
        <v>4</v>
      </c>
      <c r="B12" s="172" t="s">
        <v>83</v>
      </c>
      <c r="C12" s="139">
        <v>22.179999999999609</v>
      </c>
      <c r="D12" s="139">
        <v>0</v>
      </c>
      <c r="E12" s="139">
        <f>'[5]May 23'!E12+'[5]June 23'!D12</f>
        <v>0</v>
      </c>
      <c r="F12" s="139">
        <v>0</v>
      </c>
      <c r="G12" s="139">
        <f>'[5]May 23'!G12+'[5]June 23'!F12</f>
        <v>0</v>
      </c>
      <c r="H12" s="139">
        <f t="shared" si="0"/>
        <v>22.179999999999609</v>
      </c>
      <c r="I12" s="139">
        <v>1284.2549999999999</v>
      </c>
      <c r="J12" s="182">
        <v>3.59</v>
      </c>
      <c r="K12" s="139">
        <f>'[5]May 23'!K12+'[5]June 23'!J12</f>
        <v>11.41</v>
      </c>
      <c r="L12" s="139">
        <v>0</v>
      </c>
      <c r="M12" s="139">
        <f>'[5]May 23'!M12+'[5]June 23'!L12</f>
        <v>0</v>
      </c>
      <c r="N12" s="139">
        <f t="shared" si="1"/>
        <v>1287.8449999999998</v>
      </c>
      <c r="O12" s="139">
        <v>1.9700000000000095</v>
      </c>
      <c r="P12" s="139">
        <v>0</v>
      </c>
      <c r="Q12" s="139">
        <f>'[5]May 23'!Q12+'[5]June 23'!P12</f>
        <v>0</v>
      </c>
      <c r="R12" s="139">
        <v>0</v>
      </c>
      <c r="S12" s="139">
        <f>'[5]May 23'!S12+'[5]June 23'!R12</f>
        <v>0</v>
      </c>
      <c r="T12" s="139">
        <f t="shared" si="2"/>
        <v>1.9700000000000095</v>
      </c>
      <c r="U12" s="139">
        <f t="shared" si="3"/>
        <v>1311.9949999999994</v>
      </c>
    </row>
    <row r="13" spans="1:21" ht="38.25" customHeight="1" x14ac:dyDescent="0.35">
      <c r="A13" s="171">
        <v>5</v>
      </c>
      <c r="B13" s="172" t="s">
        <v>84</v>
      </c>
      <c r="C13" s="139">
        <v>312.23000000000013</v>
      </c>
      <c r="D13" s="139">
        <v>0</v>
      </c>
      <c r="E13" s="139">
        <f>'[5]May 23'!E13+'[5]June 23'!D13</f>
        <v>0</v>
      </c>
      <c r="F13" s="139">
        <v>0</v>
      </c>
      <c r="G13" s="139">
        <f>'[5]May 23'!G13+'[5]June 23'!F13</f>
        <v>0</v>
      </c>
      <c r="H13" s="139">
        <f t="shared" si="0"/>
        <v>312.23000000000013</v>
      </c>
      <c r="I13" s="139">
        <v>549.70200000000023</v>
      </c>
      <c r="J13" s="182">
        <v>1.38</v>
      </c>
      <c r="K13" s="139">
        <f>'[5]May 23'!K13+'[5]June 23'!J13</f>
        <v>5.55</v>
      </c>
      <c r="L13" s="139">
        <v>0</v>
      </c>
      <c r="M13" s="139">
        <f>'[5]May 23'!M13+'[5]June 23'!L13</f>
        <v>0</v>
      </c>
      <c r="N13" s="139">
        <f t="shared" si="1"/>
        <v>551.08200000000022</v>
      </c>
      <c r="O13" s="139">
        <v>68.39</v>
      </c>
      <c r="P13" s="139">
        <v>0</v>
      </c>
      <c r="Q13" s="139">
        <f>'[5]May 23'!Q13+'[5]June 23'!P13</f>
        <v>0</v>
      </c>
      <c r="R13" s="139">
        <v>0</v>
      </c>
      <c r="S13" s="139">
        <f>'[5]May 23'!S13+'[5]June 23'!R13</f>
        <v>0</v>
      </c>
      <c r="T13" s="139">
        <f t="shared" si="2"/>
        <v>68.39</v>
      </c>
      <c r="U13" s="139">
        <f t="shared" si="3"/>
        <v>931.70200000000034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1216.4399999999994</v>
      </c>
      <c r="D14" s="139">
        <v>0</v>
      </c>
      <c r="E14" s="139">
        <f>'[5]May 23'!E14+'[5]June 23'!D14</f>
        <v>0</v>
      </c>
      <c r="F14" s="139">
        <v>0</v>
      </c>
      <c r="G14" s="139">
        <f>'[5]May 23'!G14+'[5]June 23'!F14</f>
        <v>0</v>
      </c>
      <c r="H14" s="139">
        <f t="shared" si="0"/>
        <v>1216.4399999999994</v>
      </c>
      <c r="I14" s="139">
        <v>916.54800000000034</v>
      </c>
      <c r="J14" s="182">
        <v>4.53</v>
      </c>
      <c r="K14" s="139">
        <f>'[5]May 23'!K14+'[5]June 23'!J14</f>
        <v>17.579999999999998</v>
      </c>
      <c r="L14" s="139">
        <v>0</v>
      </c>
      <c r="M14" s="139">
        <f>'[5]May 23'!M14+'[5]June 23'!L14</f>
        <v>0</v>
      </c>
      <c r="N14" s="139">
        <f t="shared" si="1"/>
        <v>921.07800000000032</v>
      </c>
      <c r="O14" s="139">
        <v>61.329999999999991</v>
      </c>
      <c r="P14" s="139">
        <v>0</v>
      </c>
      <c r="Q14" s="139">
        <f>'[5]May 23'!Q14+'[5]June 23'!P14</f>
        <v>0</v>
      </c>
      <c r="R14" s="139">
        <v>0</v>
      </c>
      <c r="S14" s="139">
        <f>'[5]May 23'!S14+'[5]June 23'!R14</f>
        <v>0</v>
      </c>
      <c r="T14" s="139">
        <f t="shared" si="2"/>
        <v>61.329999999999991</v>
      </c>
      <c r="U14" s="139">
        <f t="shared" si="3"/>
        <v>2198.8479999999995</v>
      </c>
    </row>
    <row r="15" spans="1:21" s="111" customFormat="1" ht="38.25" customHeight="1" x14ac:dyDescent="0.4">
      <c r="A15" s="238" t="s">
        <v>86</v>
      </c>
      <c r="B15" s="239"/>
      <c r="C15" s="141">
        <f>SUM(C12:C14)</f>
        <v>1550.849999999999</v>
      </c>
      <c r="D15" s="141">
        <f t="shared" ref="D15:U15" si="5">SUM(D12:D14)</f>
        <v>0</v>
      </c>
      <c r="E15" s="141">
        <f t="shared" si="5"/>
        <v>0</v>
      </c>
      <c r="F15" s="141">
        <f t="shared" si="5"/>
        <v>0</v>
      </c>
      <c r="G15" s="141">
        <f t="shared" si="5"/>
        <v>0</v>
      </c>
      <c r="H15" s="141">
        <f t="shared" si="5"/>
        <v>1550.849999999999</v>
      </c>
      <c r="I15" s="141">
        <f t="shared" si="5"/>
        <v>2750.5050000000006</v>
      </c>
      <c r="J15" s="141">
        <f t="shared" si="5"/>
        <v>9.5</v>
      </c>
      <c r="K15" s="141">
        <f t="shared" si="5"/>
        <v>34.54</v>
      </c>
      <c r="L15" s="141">
        <f t="shared" si="5"/>
        <v>0</v>
      </c>
      <c r="M15" s="141">
        <f t="shared" si="5"/>
        <v>0</v>
      </c>
      <c r="N15" s="141">
        <f t="shared" si="5"/>
        <v>2760.0050000000006</v>
      </c>
      <c r="O15" s="141">
        <f t="shared" si="5"/>
        <v>131.69</v>
      </c>
      <c r="P15" s="141">
        <f t="shared" si="5"/>
        <v>0</v>
      </c>
      <c r="Q15" s="141">
        <f t="shared" si="5"/>
        <v>0</v>
      </c>
      <c r="R15" s="141">
        <f t="shared" si="5"/>
        <v>0</v>
      </c>
      <c r="S15" s="141">
        <f t="shared" si="5"/>
        <v>0</v>
      </c>
      <c r="T15" s="141">
        <f t="shared" si="5"/>
        <v>131.69</v>
      </c>
      <c r="U15" s="141">
        <f t="shared" si="5"/>
        <v>4442.5449999999992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752.67400000000032</v>
      </c>
      <c r="D16" s="139">
        <v>1.2</v>
      </c>
      <c r="E16" s="139">
        <f>'[5]May 23'!E16+'[5]June 23'!D16</f>
        <v>1.94</v>
      </c>
      <c r="F16" s="139">
        <v>0</v>
      </c>
      <c r="G16" s="139">
        <f>'[5]May 23'!G16+'[5]June 23'!F16</f>
        <v>4.2300000000000004</v>
      </c>
      <c r="H16" s="139">
        <f t="shared" si="0"/>
        <v>753.87400000000036</v>
      </c>
      <c r="I16" s="139">
        <v>578.39600000000019</v>
      </c>
      <c r="J16" s="139">
        <v>1.48</v>
      </c>
      <c r="K16" s="139">
        <f>'[5]May 23'!K16+'[5]June 23'!J16</f>
        <v>2.9</v>
      </c>
      <c r="L16" s="139">
        <v>0</v>
      </c>
      <c r="M16" s="139">
        <f>'[5]May 23'!M16+'[5]June 23'!L16</f>
        <v>0</v>
      </c>
      <c r="N16" s="139">
        <f t="shared" si="1"/>
        <v>579.8760000000002</v>
      </c>
      <c r="O16" s="139">
        <v>177.49200000000005</v>
      </c>
      <c r="P16" s="139">
        <v>0</v>
      </c>
      <c r="Q16" s="139">
        <f>'[5]May 23'!Q16+'[5]June 23'!P16</f>
        <v>0.08</v>
      </c>
      <c r="R16" s="139">
        <v>30.8</v>
      </c>
      <c r="S16" s="139">
        <f>'[5]May 23'!S16+'[5]June 23'!R16</f>
        <v>30.830000000000002</v>
      </c>
      <c r="T16" s="139">
        <f t="shared" si="2"/>
        <v>146.69200000000004</v>
      </c>
      <c r="U16" s="139">
        <f t="shared" si="3"/>
        <v>1480.4420000000005</v>
      </c>
    </row>
    <row r="17" spans="1:21" ht="38.25" customHeight="1" x14ac:dyDescent="0.35">
      <c r="A17" s="171">
        <v>9</v>
      </c>
      <c r="B17" s="172" t="s">
        <v>120</v>
      </c>
      <c r="C17" s="139">
        <v>2.7259999999999476</v>
      </c>
      <c r="D17" s="139">
        <v>0</v>
      </c>
      <c r="E17" s="139">
        <f>'[5]May 23'!E17+'[5]June 23'!D17</f>
        <v>0.05</v>
      </c>
      <c r="F17" s="139">
        <v>0</v>
      </c>
      <c r="G17" s="139">
        <f>'[5]May 23'!G17+'[5]June 23'!F17</f>
        <v>0</v>
      </c>
      <c r="H17" s="139">
        <f t="shared" si="0"/>
        <v>2.7259999999999476</v>
      </c>
      <c r="I17" s="139">
        <v>598.81000000000006</v>
      </c>
      <c r="J17" s="139">
        <v>1.5</v>
      </c>
      <c r="K17" s="139">
        <f>'[5]May 23'!K17+'[5]June 23'!J17</f>
        <v>11.620000000000001</v>
      </c>
      <c r="L17" s="139">
        <v>0</v>
      </c>
      <c r="M17" s="139">
        <f>'[5]May 23'!M17+'[5]June 23'!L17</f>
        <v>0.43</v>
      </c>
      <c r="N17" s="139">
        <f t="shared" si="1"/>
        <v>600.31000000000006</v>
      </c>
      <c r="O17" s="139">
        <v>2.7399999999999998</v>
      </c>
      <c r="P17" s="139">
        <v>0</v>
      </c>
      <c r="Q17" s="139">
        <f>'[5]May 23'!Q17+'[5]June 23'!P17</f>
        <v>1.22</v>
      </c>
      <c r="R17" s="139">
        <v>0</v>
      </c>
      <c r="S17" s="139">
        <f>'[5]May 23'!S17+'[5]June 23'!R17</f>
        <v>0.43</v>
      </c>
      <c r="T17" s="139">
        <f t="shared" si="2"/>
        <v>2.7399999999999998</v>
      </c>
      <c r="U17" s="139">
        <f t="shared" si="3"/>
        <v>605.77600000000007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90.266000000000147</v>
      </c>
      <c r="D18" s="139">
        <v>0</v>
      </c>
      <c r="E18" s="139">
        <f>'[5]May 23'!E18+'[5]June 23'!D18</f>
        <v>0.05</v>
      </c>
      <c r="F18" s="139">
        <v>0</v>
      </c>
      <c r="G18" s="139">
        <f>'[5]May 23'!G18+'[5]June 23'!F18</f>
        <v>0.05</v>
      </c>
      <c r="H18" s="139">
        <f t="shared" si="0"/>
        <v>90.266000000000147</v>
      </c>
      <c r="I18" s="139">
        <v>620.09</v>
      </c>
      <c r="J18" s="139">
        <v>0.72</v>
      </c>
      <c r="K18" s="139">
        <f>'[5]May 23'!K18+'[5]June 23'!J18</f>
        <v>3.5149999999999997</v>
      </c>
      <c r="L18" s="139">
        <v>0</v>
      </c>
      <c r="M18" s="139">
        <f>'[5]May 23'!M18+'[5]June 23'!L18</f>
        <v>0</v>
      </c>
      <c r="N18" s="139">
        <f t="shared" si="1"/>
        <v>620.81000000000006</v>
      </c>
      <c r="O18" s="139">
        <v>35.689999999999991</v>
      </c>
      <c r="P18" s="139">
        <v>0</v>
      </c>
      <c r="Q18" s="139">
        <f>'[5]May 23'!Q18+'[5]June 23'!P18</f>
        <v>0</v>
      </c>
      <c r="R18" s="139">
        <v>0</v>
      </c>
      <c r="S18" s="139">
        <f>'[5]May 23'!S18+'[5]June 23'!R18</f>
        <v>0</v>
      </c>
      <c r="T18" s="139">
        <f t="shared" si="2"/>
        <v>35.689999999999991</v>
      </c>
      <c r="U18" s="139">
        <f t="shared" si="3"/>
        <v>746.76600000000019</v>
      </c>
    </row>
    <row r="19" spans="1:21" s="111" customFormat="1" ht="38.25" customHeight="1" x14ac:dyDescent="0.4">
      <c r="A19" s="238" t="s">
        <v>89</v>
      </c>
      <c r="B19" s="239"/>
      <c r="C19" s="141">
        <f>SUM(C16:C18)</f>
        <v>845.66600000000051</v>
      </c>
      <c r="D19" s="141">
        <f t="shared" ref="D19:U19" si="6">SUM(D16:D18)</f>
        <v>1.2</v>
      </c>
      <c r="E19" s="141">
        <f t="shared" si="6"/>
        <v>2.04</v>
      </c>
      <c r="F19" s="141">
        <f t="shared" si="6"/>
        <v>0</v>
      </c>
      <c r="G19" s="141">
        <f t="shared" si="6"/>
        <v>4.28</v>
      </c>
      <c r="H19" s="141">
        <f t="shared" si="6"/>
        <v>846.86600000000055</v>
      </c>
      <c r="I19" s="141">
        <f t="shared" si="6"/>
        <v>1797.2960000000003</v>
      </c>
      <c r="J19" s="141">
        <f t="shared" si="6"/>
        <v>3.7</v>
      </c>
      <c r="K19" s="141">
        <f t="shared" si="6"/>
        <v>18.035</v>
      </c>
      <c r="L19" s="141">
        <f t="shared" si="6"/>
        <v>0</v>
      </c>
      <c r="M19" s="141">
        <f t="shared" si="6"/>
        <v>0.43</v>
      </c>
      <c r="N19" s="141">
        <f t="shared" si="6"/>
        <v>1800.9960000000001</v>
      </c>
      <c r="O19" s="141">
        <f t="shared" si="6"/>
        <v>215.92200000000005</v>
      </c>
      <c r="P19" s="141">
        <f t="shared" si="6"/>
        <v>0</v>
      </c>
      <c r="Q19" s="141">
        <f t="shared" si="6"/>
        <v>1.3</v>
      </c>
      <c r="R19" s="141">
        <f t="shared" si="6"/>
        <v>30.8</v>
      </c>
      <c r="S19" s="141">
        <f t="shared" si="6"/>
        <v>31.26</v>
      </c>
      <c r="T19" s="141">
        <f t="shared" si="6"/>
        <v>185.12200000000004</v>
      </c>
      <c r="U19" s="141">
        <f t="shared" si="6"/>
        <v>2832.9840000000008</v>
      </c>
    </row>
    <row r="20" spans="1:21" ht="38.25" customHeight="1" x14ac:dyDescent="0.35">
      <c r="A20" s="171">
        <v>8</v>
      </c>
      <c r="B20" s="172" t="s">
        <v>91</v>
      </c>
      <c r="C20" s="139">
        <v>607.42999999999984</v>
      </c>
      <c r="D20" s="139">
        <v>0</v>
      </c>
      <c r="E20" s="139">
        <f>'[5]May 23'!E20+'[5]June 23'!D20</f>
        <v>0</v>
      </c>
      <c r="F20" s="139">
        <v>0</v>
      </c>
      <c r="G20" s="139">
        <f>'[5]May 23'!G20+'[5]June 23'!F20</f>
        <v>0</v>
      </c>
      <c r="H20" s="139">
        <f t="shared" si="0"/>
        <v>607.42999999999984</v>
      </c>
      <c r="I20" s="139">
        <v>750.90800000000024</v>
      </c>
      <c r="J20" s="139">
        <v>2.16</v>
      </c>
      <c r="K20" s="139">
        <f>'[5]May 23'!K20+'[5]June 23'!J20</f>
        <v>4.68</v>
      </c>
      <c r="L20" s="139">
        <v>0</v>
      </c>
      <c r="M20" s="139">
        <f>'[5]May 23'!M20+'[5]June 23'!L20</f>
        <v>0.02</v>
      </c>
      <c r="N20" s="139">
        <f t="shared" si="1"/>
        <v>753.06800000000021</v>
      </c>
      <c r="O20" s="139">
        <v>37.580000000000005</v>
      </c>
      <c r="P20" s="139">
        <v>0</v>
      </c>
      <c r="Q20" s="139">
        <f>'[5]May 23'!Q20+'[5]June 23'!P20</f>
        <v>0</v>
      </c>
      <c r="R20" s="139">
        <v>0</v>
      </c>
      <c r="S20" s="139">
        <f>'[5]May 23'!S20+'[5]June 23'!R20</f>
        <v>0</v>
      </c>
      <c r="T20" s="139">
        <f t="shared" si="2"/>
        <v>37.580000000000005</v>
      </c>
      <c r="U20" s="139">
        <f t="shared" si="3"/>
        <v>1398.078</v>
      </c>
    </row>
    <row r="21" spans="1:21" ht="38.25" customHeight="1" x14ac:dyDescent="0.35">
      <c r="A21" s="171">
        <v>9</v>
      </c>
      <c r="B21" s="172" t="s">
        <v>90</v>
      </c>
      <c r="C21" s="139">
        <v>2.0700000000000003</v>
      </c>
      <c r="D21" s="139">
        <v>0</v>
      </c>
      <c r="E21" s="139">
        <f>'[5]May 23'!E21+'[5]June 23'!D21</f>
        <v>0</v>
      </c>
      <c r="F21" s="139">
        <v>0</v>
      </c>
      <c r="G21" s="139">
        <f>'[5]May 23'!G21+'[5]June 23'!F21</f>
        <v>0</v>
      </c>
      <c r="H21" s="139">
        <f t="shared" si="0"/>
        <v>2.0700000000000003</v>
      </c>
      <c r="I21" s="139">
        <v>465.09700000000009</v>
      </c>
      <c r="J21" s="139">
        <v>0.12</v>
      </c>
      <c r="K21" s="139">
        <f>'[5]May 23'!K21+'[5]June 23'!J21</f>
        <v>3.81</v>
      </c>
      <c r="L21" s="139">
        <v>0</v>
      </c>
      <c r="M21" s="139">
        <f>'[5]May 23'!M21+'[5]June 23'!L21</f>
        <v>0.02</v>
      </c>
      <c r="N21" s="139">
        <f t="shared" si="1"/>
        <v>465.2170000000001</v>
      </c>
      <c r="O21" s="139">
        <v>18.889999999999993</v>
      </c>
      <c r="P21" s="139">
        <v>0</v>
      </c>
      <c r="Q21" s="139">
        <f>'[5]May 23'!Q21+'[5]June 23'!P21</f>
        <v>0</v>
      </c>
      <c r="R21" s="139">
        <v>0</v>
      </c>
      <c r="S21" s="139">
        <f>'[5]May 23'!S21+'[5]June 23'!R21</f>
        <v>0</v>
      </c>
      <c r="T21" s="139">
        <f t="shared" si="2"/>
        <v>18.889999999999993</v>
      </c>
      <c r="U21" s="139">
        <f t="shared" si="3"/>
        <v>486.17700000000008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22.430000000000021</v>
      </c>
      <c r="D22" s="139">
        <v>0</v>
      </c>
      <c r="E22" s="139">
        <f>'[5]May 23'!E22+'[5]June 23'!D22</f>
        <v>0</v>
      </c>
      <c r="F22" s="139">
        <v>0</v>
      </c>
      <c r="G22" s="139">
        <f>'[5]May 23'!G22+'[5]June 23'!F22</f>
        <v>0</v>
      </c>
      <c r="H22" s="139">
        <f t="shared" si="0"/>
        <v>22.430000000000021</v>
      </c>
      <c r="I22" s="139">
        <v>698.84000000000015</v>
      </c>
      <c r="J22" s="139">
        <v>0.56000000000000005</v>
      </c>
      <c r="K22" s="139">
        <f>'[5]May 23'!K22+'[5]June 23'!J22</f>
        <v>1.1800000000000002</v>
      </c>
      <c r="L22" s="139">
        <v>0</v>
      </c>
      <c r="M22" s="139">
        <f>'[5]May 23'!M22+'[5]June 23'!L22</f>
        <v>0</v>
      </c>
      <c r="N22" s="139">
        <f t="shared" si="1"/>
        <v>699.40000000000009</v>
      </c>
      <c r="O22" s="139">
        <v>0.60000000000000098</v>
      </c>
      <c r="P22" s="139">
        <v>0</v>
      </c>
      <c r="Q22" s="139">
        <f>'[5]May 23'!Q22+'[5]June 23'!P22</f>
        <v>0</v>
      </c>
      <c r="R22" s="139">
        <v>0</v>
      </c>
      <c r="S22" s="139">
        <f>'[5]May 23'!S22+'[5]June 23'!R22</f>
        <v>0</v>
      </c>
      <c r="T22" s="139">
        <f t="shared" si="2"/>
        <v>0.60000000000000098</v>
      </c>
      <c r="U22" s="139">
        <f t="shared" si="3"/>
        <v>722.43000000000018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432.16999999999996</v>
      </c>
      <c r="D23" s="139">
        <v>0</v>
      </c>
      <c r="E23" s="139">
        <f>'[5]May 23'!E23+'[5]June 23'!D23</f>
        <v>1.53</v>
      </c>
      <c r="F23" s="139">
        <v>0</v>
      </c>
      <c r="G23" s="139">
        <f>'[5]May 23'!G23+'[5]June 23'!F23</f>
        <v>0</v>
      </c>
      <c r="H23" s="139">
        <f t="shared" si="0"/>
        <v>432.16999999999996</v>
      </c>
      <c r="I23" s="139">
        <v>140.48499999999999</v>
      </c>
      <c r="J23" s="139">
        <v>2.7</v>
      </c>
      <c r="K23" s="139">
        <f>'[5]May 23'!K23+'[5]June 23'!J23</f>
        <v>3.63</v>
      </c>
      <c r="L23" s="139">
        <v>0</v>
      </c>
      <c r="M23" s="139">
        <f>'[5]May 23'!M23+'[5]June 23'!L23</f>
        <v>0</v>
      </c>
      <c r="N23" s="139">
        <f t="shared" si="1"/>
        <v>143.18499999999997</v>
      </c>
      <c r="O23" s="139">
        <v>22.5</v>
      </c>
      <c r="P23" s="139">
        <v>0</v>
      </c>
      <c r="Q23" s="139">
        <f>'[5]May 23'!Q23+'[5]June 23'!P23</f>
        <v>0</v>
      </c>
      <c r="R23" s="139">
        <v>0</v>
      </c>
      <c r="S23" s="139">
        <f>'[5]May 23'!S23+'[5]June 23'!R23</f>
        <v>0</v>
      </c>
      <c r="T23" s="139">
        <f t="shared" si="2"/>
        <v>22.5</v>
      </c>
      <c r="U23" s="139">
        <f t="shared" si="3"/>
        <v>597.8549999999999</v>
      </c>
    </row>
    <row r="24" spans="1:21" s="111" customFormat="1" ht="38.25" customHeight="1" x14ac:dyDescent="0.4">
      <c r="A24" s="240" t="s">
        <v>94</v>
      </c>
      <c r="B24" s="240"/>
      <c r="C24" s="141">
        <f>SUM(C20:C23)</f>
        <v>1064.0999999999999</v>
      </c>
      <c r="D24" s="141">
        <f t="shared" ref="D24:U24" si="7">SUM(D20:D23)</f>
        <v>0</v>
      </c>
      <c r="E24" s="141">
        <f t="shared" si="7"/>
        <v>1.53</v>
      </c>
      <c r="F24" s="141">
        <f t="shared" si="7"/>
        <v>0</v>
      </c>
      <c r="G24" s="141">
        <f t="shared" si="7"/>
        <v>0</v>
      </c>
      <c r="H24" s="141">
        <f t="shared" si="7"/>
        <v>1064.0999999999999</v>
      </c>
      <c r="I24" s="141">
        <f t="shared" si="7"/>
        <v>2055.3300000000004</v>
      </c>
      <c r="J24" s="141">
        <f t="shared" si="7"/>
        <v>5.5400000000000009</v>
      </c>
      <c r="K24" s="141">
        <f t="shared" si="7"/>
        <v>13.3</v>
      </c>
      <c r="L24" s="141">
        <f t="shared" si="7"/>
        <v>0</v>
      </c>
      <c r="M24" s="141">
        <f t="shared" si="7"/>
        <v>0.04</v>
      </c>
      <c r="N24" s="141">
        <f t="shared" si="7"/>
        <v>2060.8700000000003</v>
      </c>
      <c r="O24" s="141">
        <f t="shared" si="7"/>
        <v>79.569999999999993</v>
      </c>
      <c r="P24" s="141">
        <f t="shared" si="7"/>
        <v>0</v>
      </c>
      <c r="Q24" s="141">
        <f t="shared" si="7"/>
        <v>0</v>
      </c>
      <c r="R24" s="141">
        <f t="shared" si="7"/>
        <v>0</v>
      </c>
      <c r="S24" s="141">
        <f t="shared" si="7"/>
        <v>0</v>
      </c>
      <c r="T24" s="141">
        <f t="shared" si="7"/>
        <v>79.569999999999993</v>
      </c>
      <c r="U24" s="141">
        <f t="shared" si="7"/>
        <v>3204.5400000000004</v>
      </c>
    </row>
    <row r="25" spans="1:21" s="145" customFormat="1" ht="38.25" customHeight="1" x14ac:dyDescent="0.4">
      <c r="A25" s="241" t="s">
        <v>95</v>
      </c>
      <c r="B25" s="242"/>
      <c r="C25" s="141">
        <f>C24+C19+C15+C11</f>
        <v>3942.9459999999995</v>
      </c>
      <c r="D25" s="141">
        <f t="shared" ref="D25:U25" si="8">D24+D19+D15+D11</f>
        <v>1.2</v>
      </c>
      <c r="E25" s="141">
        <f t="shared" si="8"/>
        <v>3.5700000000000003</v>
      </c>
      <c r="F25" s="141">
        <f t="shared" si="8"/>
        <v>0</v>
      </c>
      <c r="G25" s="141">
        <f t="shared" si="8"/>
        <v>4.28</v>
      </c>
      <c r="H25" s="141">
        <f t="shared" si="8"/>
        <v>3944.1459999999993</v>
      </c>
      <c r="I25" s="141">
        <f t="shared" si="8"/>
        <v>9029.4730000000018</v>
      </c>
      <c r="J25" s="141">
        <f t="shared" si="8"/>
        <v>36.995000000000005</v>
      </c>
      <c r="K25" s="141">
        <f t="shared" si="8"/>
        <v>129.648</v>
      </c>
      <c r="L25" s="141">
        <f t="shared" si="8"/>
        <v>0</v>
      </c>
      <c r="M25" s="141">
        <f t="shared" si="8"/>
        <v>0.47</v>
      </c>
      <c r="N25" s="141">
        <f t="shared" si="8"/>
        <v>9066.4680000000008</v>
      </c>
      <c r="O25" s="141">
        <f t="shared" si="8"/>
        <v>546.84800000000007</v>
      </c>
      <c r="P25" s="141">
        <f t="shared" si="8"/>
        <v>0</v>
      </c>
      <c r="Q25" s="141">
        <f t="shared" si="8"/>
        <v>1.3</v>
      </c>
      <c r="R25" s="141">
        <f t="shared" si="8"/>
        <v>30.8</v>
      </c>
      <c r="S25" s="141">
        <f t="shared" si="8"/>
        <v>31.26</v>
      </c>
      <c r="T25" s="141">
        <f t="shared" si="8"/>
        <v>516.048</v>
      </c>
      <c r="U25" s="141">
        <f t="shared" si="8"/>
        <v>13526.662</v>
      </c>
    </row>
    <row r="26" spans="1:21" ht="38.25" customHeight="1" x14ac:dyDescent="0.35">
      <c r="A26" s="171">
        <v>15</v>
      </c>
      <c r="B26" s="172" t="s">
        <v>96</v>
      </c>
      <c r="C26" s="139">
        <v>1640.68</v>
      </c>
      <c r="D26" s="139">
        <v>2.44</v>
      </c>
      <c r="E26" s="139">
        <f>'[5]May 23'!E26+'[5]June 23'!D26</f>
        <v>14.83</v>
      </c>
      <c r="F26" s="139">
        <v>0</v>
      </c>
      <c r="G26" s="139">
        <f>'[5]May 23'!G26+'[5]June 23'!F26</f>
        <v>0</v>
      </c>
      <c r="H26" s="139">
        <f t="shared" si="0"/>
        <v>1643.1200000000001</v>
      </c>
      <c r="I26" s="139">
        <v>122.2</v>
      </c>
      <c r="J26" s="139">
        <v>0.03</v>
      </c>
      <c r="K26" s="139">
        <f>'[5]May 23'!K26+'[5]June 23'!J26</f>
        <v>0.68</v>
      </c>
      <c r="L26" s="139">
        <v>0</v>
      </c>
      <c r="M26" s="139">
        <f>'[5]May 23'!M26+'[5]June 23'!L26</f>
        <v>0</v>
      </c>
      <c r="N26" s="139">
        <f t="shared" si="1"/>
        <v>122.23</v>
      </c>
      <c r="O26" s="139">
        <v>16.489999999999998</v>
      </c>
      <c r="P26" s="139">
        <v>0</v>
      </c>
      <c r="Q26" s="139">
        <f>'[5]May 23'!Q26+'[5]June 23'!P26</f>
        <v>0.12</v>
      </c>
      <c r="R26" s="139">
        <v>0</v>
      </c>
      <c r="S26" s="139">
        <f>'[5]May 23'!S26+'[5]June 23'!R26</f>
        <v>0</v>
      </c>
      <c r="T26" s="139">
        <f t="shared" si="2"/>
        <v>16.489999999999998</v>
      </c>
      <c r="U26" s="139">
        <f t="shared" si="3"/>
        <v>1781.8400000000001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5701.8350000000046</v>
      </c>
      <c r="D27" s="139">
        <v>8.2100000000000009</v>
      </c>
      <c r="E27" s="139">
        <f>'[5]May 23'!E27+'[5]June 23'!D27</f>
        <v>24.69</v>
      </c>
      <c r="F27" s="139">
        <v>0</v>
      </c>
      <c r="G27" s="139">
        <f>'[5]May 23'!G27+'[5]June 23'!F27</f>
        <v>0.02</v>
      </c>
      <c r="H27" s="139">
        <f t="shared" si="0"/>
        <v>5710.0450000000046</v>
      </c>
      <c r="I27" s="139">
        <v>635.77799999999991</v>
      </c>
      <c r="J27" s="139">
        <v>3.05</v>
      </c>
      <c r="K27" s="139">
        <f>'[5]May 23'!K27+'[5]June 23'!J27</f>
        <v>4.67</v>
      </c>
      <c r="L27" s="139">
        <v>0</v>
      </c>
      <c r="M27" s="139">
        <f>'[5]May 23'!M27+'[5]June 23'!L27</f>
        <v>0.02</v>
      </c>
      <c r="N27" s="139">
        <f t="shared" si="1"/>
        <v>638.82799999999986</v>
      </c>
      <c r="O27" s="139">
        <v>33.800000000000004</v>
      </c>
      <c r="P27" s="139">
        <v>0.05</v>
      </c>
      <c r="Q27" s="139">
        <f>'[5]May 23'!Q27+'[5]June 23'!P27</f>
        <v>0.05</v>
      </c>
      <c r="R27" s="139">
        <v>0</v>
      </c>
      <c r="S27" s="139">
        <f>'[5]May 23'!S27+'[5]June 23'!R27</f>
        <v>0</v>
      </c>
      <c r="T27" s="139">
        <f t="shared" si="2"/>
        <v>33.85</v>
      </c>
      <c r="U27" s="139">
        <f t="shared" si="3"/>
        <v>6382.7230000000045</v>
      </c>
    </row>
    <row r="28" spans="1:21" s="111" customFormat="1" ht="38.25" customHeight="1" x14ac:dyDescent="0.4">
      <c r="A28" s="240" t="s">
        <v>98</v>
      </c>
      <c r="B28" s="240"/>
      <c r="C28" s="141">
        <f>SUM(C26:C27)</f>
        <v>7342.5150000000049</v>
      </c>
      <c r="D28" s="141">
        <f t="shared" ref="D28:U28" si="9">SUM(D26:D27)</f>
        <v>10.65</v>
      </c>
      <c r="E28" s="141">
        <f t="shared" si="9"/>
        <v>39.520000000000003</v>
      </c>
      <c r="F28" s="141">
        <f t="shared" si="9"/>
        <v>0</v>
      </c>
      <c r="G28" s="141">
        <f t="shared" si="9"/>
        <v>0.02</v>
      </c>
      <c r="H28" s="141">
        <f t="shared" si="9"/>
        <v>7353.1650000000045</v>
      </c>
      <c r="I28" s="141">
        <f t="shared" si="9"/>
        <v>757.97799999999995</v>
      </c>
      <c r="J28" s="141">
        <f t="shared" si="9"/>
        <v>3.0799999999999996</v>
      </c>
      <c r="K28" s="141">
        <f t="shared" si="9"/>
        <v>5.35</v>
      </c>
      <c r="L28" s="141">
        <f t="shared" si="9"/>
        <v>0</v>
      </c>
      <c r="M28" s="141">
        <f t="shared" si="9"/>
        <v>0.02</v>
      </c>
      <c r="N28" s="141">
        <f t="shared" si="9"/>
        <v>761.05799999999988</v>
      </c>
      <c r="O28" s="141">
        <f t="shared" si="9"/>
        <v>50.290000000000006</v>
      </c>
      <c r="P28" s="141">
        <f t="shared" si="9"/>
        <v>0.05</v>
      </c>
      <c r="Q28" s="141">
        <f t="shared" si="9"/>
        <v>0.16999999999999998</v>
      </c>
      <c r="R28" s="141">
        <f t="shared" si="9"/>
        <v>0</v>
      </c>
      <c r="S28" s="141">
        <f t="shared" si="9"/>
        <v>0</v>
      </c>
      <c r="T28" s="141">
        <f t="shared" si="9"/>
        <v>50.34</v>
      </c>
      <c r="U28" s="141">
        <f t="shared" si="9"/>
        <v>8164.5630000000046</v>
      </c>
    </row>
    <row r="29" spans="1:21" ht="38.25" customHeight="1" x14ac:dyDescent="0.35">
      <c r="A29" s="171">
        <v>17</v>
      </c>
      <c r="B29" s="172" t="s">
        <v>99</v>
      </c>
      <c r="C29" s="139">
        <v>5009.728000000001</v>
      </c>
      <c r="D29" s="139">
        <v>1.1499999999999999</v>
      </c>
      <c r="E29" s="139">
        <f>'[5]May 23'!E29+'[5]June 23'!D29</f>
        <v>129.84</v>
      </c>
      <c r="F29" s="139">
        <v>0</v>
      </c>
      <c r="G29" s="139">
        <f>'[5]May 23'!G29+'[5]June 23'!F29</f>
        <v>0</v>
      </c>
      <c r="H29" s="139">
        <f t="shared" si="0"/>
        <v>5010.8780000000006</v>
      </c>
      <c r="I29" s="139">
        <v>121.68000000000002</v>
      </c>
      <c r="J29" s="139">
        <v>0.56999999999999995</v>
      </c>
      <c r="K29" s="139">
        <f>'[5]May 23'!K29+'[5]June 23'!J29</f>
        <v>0.72</v>
      </c>
      <c r="L29" s="139">
        <v>0</v>
      </c>
      <c r="M29" s="139">
        <f>'[5]May 23'!M29+'[5]June 23'!L29</f>
        <v>0</v>
      </c>
      <c r="N29" s="139">
        <f t="shared" si="1"/>
        <v>122.25000000000001</v>
      </c>
      <c r="O29" s="139">
        <v>34.52000000000001</v>
      </c>
      <c r="P29" s="139">
        <v>0</v>
      </c>
      <c r="Q29" s="139">
        <f>'[5]May 23'!Q29+'[5]June 23'!P29</f>
        <v>0</v>
      </c>
      <c r="R29" s="139">
        <v>0</v>
      </c>
      <c r="S29" s="139">
        <f>'[5]May 23'!S29+'[5]June 23'!R29</f>
        <v>0</v>
      </c>
      <c r="T29" s="139">
        <f t="shared" si="2"/>
        <v>34.52000000000001</v>
      </c>
      <c r="U29" s="139">
        <f t="shared" si="3"/>
        <v>5167.648000000001</v>
      </c>
    </row>
    <row r="30" spans="1:21" ht="38.25" customHeight="1" x14ac:dyDescent="0.35">
      <c r="A30" s="171">
        <v>18</v>
      </c>
      <c r="B30" s="172" t="s">
        <v>100</v>
      </c>
      <c r="C30" s="139">
        <v>3711.8999999999992</v>
      </c>
      <c r="D30" s="139">
        <v>5.46</v>
      </c>
      <c r="E30" s="139">
        <f>'[5]May 23'!E30+'[5]June 23'!D30</f>
        <v>15.21</v>
      </c>
      <c r="F30" s="139">
        <v>0</v>
      </c>
      <c r="G30" s="139">
        <f>'[5]May 23'!G30+'[5]June 23'!F30</f>
        <v>0</v>
      </c>
      <c r="H30" s="139">
        <f t="shared" si="0"/>
        <v>3717.3599999999992</v>
      </c>
      <c r="I30" s="139">
        <v>198.58699999999999</v>
      </c>
      <c r="J30" s="139">
        <v>0</v>
      </c>
      <c r="K30" s="139">
        <f>'[5]May 23'!K30+'[5]June 23'!J30</f>
        <v>0</v>
      </c>
      <c r="L30" s="139">
        <v>0</v>
      </c>
      <c r="M30" s="139">
        <f>'[5]May 23'!M30+'[5]June 23'!L30</f>
        <v>0</v>
      </c>
      <c r="N30" s="139">
        <f t="shared" si="1"/>
        <v>198.58699999999999</v>
      </c>
      <c r="O30" s="139">
        <v>23.25</v>
      </c>
      <c r="P30" s="139">
        <v>0</v>
      </c>
      <c r="Q30" s="139">
        <f>'[5]May 23'!Q30+'[5]June 23'!P30</f>
        <v>0</v>
      </c>
      <c r="R30" s="139">
        <v>0</v>
      </c>
      <c r="S30" s="139">
        <f>'[5]May 23'!S30+'[5]June 23'!R30</f>
        <v>0</v>
      </c>
      <c r="T30" s="139">
        <f t="shared" si="2"/>
        <v>23.25</v>
      </c>
      <c r="U30" s="139">
        <f t="shared" si="3"/>
        <v>3939.1969999999992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4704.5700000000015</v>
      </c>
      <c r="D31" s="139">
        <v>4.33</v>
      </c>
      <c r="E31" s="139">
        <f>'[5]May 23'!E31+'[5]June 23'!D31</f>
        <v>6.4079999999999995</v>
      </c>
      <c r="F31" s="139">
        <v>0</v>
      </c>
      <c r="G31" s="139">
        <f>'[5]May 23'!G31+'[5]June 23'!F31</f>
        <v>0</v>
      </c>
      <c r="H31" s="139">
        <f t="shared" si="0"/>
        <v>4708.9000000000015</v>
      </c>
      <c r="I31" s="139">
        <v>107.89500000000002</v>
      </c>
      <c r="J31" s="139">
        <v>0</v>
      </c>
      <c r="K31" s="139">
        <f>'[5]May 23'!K31+'[5]June 23'!J31</f>
        <v>0.20499999999999999</v>
      </c>
      <c r="L31" s="139">
        <v>0</v>
      </c>
      <c r="M31" s="139">
        <f>'[5]May 23'!M31+'[5]June 23'!L31</f>
        <v>0</v>
      </c>
      <c r="N31" s="139">
        <f t="shared" si="1"/>
        <v>107.89500000000002</v>
      </c>
      <c r="O31" s="139">
        <v>14.850000000000001</v>
      </c>
      <c r="P31" s="139">
        <v>0</v>
      </c>
      <c r="Q31" s="139">
        <f>'[5]May 23'!Q31+'[5]June 23'!P31</f>
        <v>0</v>
      </c>
      <c r="R31" s="139">
        <v>0</v>
      </c>
      <c r="S31" s="139">
        <f>'[5]May 23'!S31+'[5]June 23'!R31</f>
        <v>0</v>
      </c>
      <c r="T31" s="139">
        <f t="shared" si="2"/>
        <v>14.850000000000001</v>
      </c>
      <c r="U31" s="139">
        <f t="shared" si="3"/>
        <v>4831.6450000000023</v>
      </c>
    </row>
    <row r="32" spans="1:21" ht="38.25" customHeight="1" x14ac:dyDescent="0.35">
      <c r="A32" s="171">
        <v>20</v>
      </c>
      <c r="B32" s="172" t="s">
        <v>102</v>
      </c>
      <c r="C32" s="139">
        <v>2369.4057999999991</v>
      </c>
      <c r="D32" s="139">
        <v>1.77</v>
      </c>
      <c r="E32" s="139">
        <f>'[5]May 23'!E32+'[5]June 23'!D32</f>
        <v>6.879999999999999</v>
      </c>
      <c r="F32" s="139">
        <v>0</v>
      </c>
      <c r="G32" s="139">
        <f>'[5]May 23'!G32+'[5]June 23'!F32</f>
        <v>9.73</v>
      </c>
      <c r="H32" s="139">
        <f t="shared" si="0"/>
        <v>2371.1757999999991</v>
      </c>
      <c r="I32" s="139">
        <v>96.384000000000029</v>
      </c>
      <c r="J32" s="139">
        <v>1.78</v>
      </c>
      <c r="K32" s="139">
        <f>'[5]May 23'!K32+'[5]June 23'!J32</f>
        <v>4.9880000000000004</v>
      </c>
      <c r="L32" s="139">
        <v>0</v>
      </c>
      <c r="M32" s="139">
        <f>'[5]May 23'!M32+'[5]June 23'!L32</f>
        <v>0</v>
      </c>
      <c r="N32" s="139">
        <f t="shared" si="1"/>
        <v>98.16400000000003</v>
      </c>
      <c r="O32" s="139">
        <v>67.551999999999992</v>
      </c>
      <c r="P32" s="139">
        <v>0</v>
      </c>
      <c r="Q32" s="139">
        <f>'[5]May 23'!Q32+'[5]June 23'!P32</f>
        <v>0</v>
      </c>
      <c r="R32" s="139">
        <v>0</v>
      </c>
      <c r="S32" s="139">
        <f>'[5]May 23'!S32+'[5]June 23'!R32</f>
        <v>0</v>
      </c>
      <c r="T32" s="139">
        <f t="shared" si="2"/>
        <v>67.551999999999992</v>
      </c>
      <c r="U32" s="139">
        <f t="shared" si="3"/>
        <v>2536.8917999999994</v>
      </c>
    </row>
    <row r="33" spans="1:21" s="111" customFormat="1" ht="38.25" customHeight="1" x14ac:dyDescent="0.4">
      <c r="A33" s="240" t="s">
        <v>99</v>
      </c>
      <c r="B33" s="240"/>
      <c r="C33" s="141">
        <f>SUM(C29:C32)</f>
        <v>15795.603800000001</v>
      </c>
      <c r="D33" s="141">
        <f t="shared" ref="D33:U33" si="10">SUM(D29:D32)</f>
        <v>12.709999999999999</v>
      </c>
      <c r="E33" s="141">
        <f t="shared" si="10"/>
        <v>158.33799999999999</v>
      </c>
      <c r="F33" s="141">
        <f t="shared" si="10"/>
        <v>0</v>
      </c>
      <c r="G33" s="141">
        <f t="shared" si="10"/>
        <v>9.73</v>
      </c>
      <c r="H33" s="141">
        <f t="shared" si="10"/>
        <v>15808.3138</v>
      </c>
      <c r="I33" s="141">
        <f t="shared" si="10"/>
        <v>524.54600000000005</v>
      </c>
      <c r="J33" s="141">
        <f t="shared" si="10"/>
        <v>2.35</v>
      </c>
      <c r="K33" s="141">
        <f t="shared" si="10"/>
        <v>5.9130000000000003</v>
      </c>
      <c r="L33" s="141">
        <f t="shared" si="10"/>
        <v>0</v>
      </c>
      <c r="M33" s="141">
        <f t="shared" si="10"/>
        <v>0</v>
      </c>
      <c r="N33" s="141">
        <f t="shared" si="10"/>
        <v>526.89600000000007</v>
      </c>
      <c r="O33" s="141">
        <f t="shared" si="10"/>
        <v>140.172</v>
      </c>
      <c r="P33" s="141">
        <f t="shared" si="10"/>
        <v>0</v>
      </c>
      <c r="Q33" s="141">
        <f t="shared" si="10"/>
        <v>0</v>
      </c>
      <c r="R33" s="141">
        <f t="shared" si="10"/>
        <v>0</v>
      </c>
      <c r="S33" s="141">
        <f t="shared" si="10"/>
        <v>0</v>
      </c>
      <c r="T33" s="141">
        <f t="shared" si="10"/>
        <v>140.172</v>
      </c>
      <c r="U33" s="141">
        <f t="shared" si="10"/>
        <v>16475.381800000003</v>
      </c>
    </row>
    <row r="34" spans="1:21" ht="38.25" customHeight="1" x14ac:dyDescent="0.35">
      <c r="A34" s="171">
        <v>21</v>
      </c>
      <c r="B34" s="172" t="s">
        <v>103</v>
      </c>
      <c r="C34" s="139">
        <v>4604.37</v>
      </c>
      <c r="D34" s="139">
        <v>0.41</v>
      </c>
      <c r="E34" s="139">
        <f>'[5]May 23'!E34+'[5]June 23'!D34</f>
        <v>18.03</v>
      </c>
      <c r="F34" s="139">
        <v>0</v>
      </c>
      <c r="G34" s="139">
        <f>'[5]May 23'!G34+'[5]June 23'!F34</f>
        <v>0</v>
      </c>
      <c r="H34" s="139">
        <f t="shared" si="0"/>
        <v>4604.78</v>
      </c>
      <c r="I34" s="139">
        <v>108.16999999999999</v>
      </c>
      <c r="J34" s="139">
        <v>0</v>
      </c>
      <c r="K34" s="139">
        <f>'[5]May 23'!K34+'[5]June 23'!J34</f>
        <v>0.09</v>
      </c>
      <c r="L34" s="139">
        <v>0</v>
      </c>
      <c r="M34" s="139">
        <f>'[5]May 23'!M34+'[5]June 23'!L34</f>
        <v>0</v>
      </c>
      <c r="N34" s="139">
        <f t="shared" si="1"/>
        <v>108.16999999999999</v>
      </c>
      <c r="O34" s="139">
        <v>72.7</v>
      </c>
      <c r="P34" s="139">
        <v>0</v>
      </c>
      <c r="Q34" s="139">
        <f>'[5]May 23'!Q34+'[5]June 23'!P34</f>
        <v>0</v>
      </c>
      <c r="R34" s="139">
        <v>0</v>
      </c>
      <c r="S34" s="139">
        <f>'[5]May 23'!S34+'[5]June 23'!R34</f>
        <v>0</v>
      </c>
      <c r="T34" s="139">
        <f t="shared" si="2"/>
        <v>72.7</v>
      </c>
      <c r="U34" s="139">
        <f t="shared" si="3"/>
        <v>4785.6499999999996</v>
      </c>
    </row>
    <row r="35" spans="1:21" ht="38.25" customHeight="1" x14ac:dyDescent="0.35">
      <c r="A35" s="171">
        <v>22</v>
      </c>
      <c r="B35" s="172" t="s">
        <v>104</v>
      </c>
      <c r="C35" s="139">
        <v>6726.3599999999979</v>
      </c>
      <c r="D35" s="139">
        <v>12.98</v>
      </c>
      <c r="E35" s="139">
        <f>'[5]May 23'!E35+'[5]June 23'!D35</f>
        <v>55.72</v>
      </c>
      <c r="F35" s="139">
        <v>0</v>
      </c>
      <c r="G35" s="139">
        <f>'[5]May 23'!G35+'[5]June 23'!F35</f>
        <v>0</v>
      </c>
      <c r="H35" s="139">
        <f t="shared" si="0"/>
        <v>6739.3399999999974</v>
      </c>
      <c r="I35" s="139">
        <v>34.17</v>
      </c>
      <c r="J35" s="139">
        <v>0</v>
      </c>
      <c r="K35" s="139">
        <f>'[5]May 23'!K35+'[5]June 23'!J35</f>
        <v>0.04</v>
      </c>
      <c r="L35" s="139">
        <v>0</v>
      </c>
      <c r="M35" s="139">
        <f>'[5]May 23'!M35+'[5]June 23'!L35</f>
        <v>0</v>
      </c>
      <c r="N35" s="139">
        <f t="shared" si="1"/>
        <v>34.17</v>
      </c>
      <c r="O35" s="139">
        <v>90.800000000000011</v>
      </c>
      <c r="P35" s="139">
        <v>0</v>
      </c>
      <c r="Q35" s="139">
        <f>'[5]May 23'!Q35+'[5]June 23'!P35</f>
        <v>0</v>
      </c>
      <c r="R35" s="139">
        <v>0</v>
      </c>
      <c r="S35" s="139">
        <f>'[5]May 23'!S35+'[5]June 23'!R35</f>
        <v>0</v>
      </c>
      <c r="T35" s="139">
        <f t="shared" si="2"/>
        <v>90.800000000000011</v>
      </c>
      <c r="U35" s="139">
        <f t="shared" si="3"/>
        <v>6864.3099999999977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3700.88</v>
      </c>
      <c r="D36" s="139">
        <v>6.75</v>
      </c>
      <c r="E36" s="139">
        <f>'[5]May 23'!E36+'[5]June 23'!D36</f>
        <v>9.9699999999999989</v>
      </c>
      <c r="F36" s="139">
        <v>0</v>
      </c>
      <c r="G36" s="139">
        <f>'[5]May 23'!G36+'[5]June 23'!F36</f>
        <v>0</v>
      </c>
      <c r="H36" s="139">
        <f t="shared" si="0"/>
        <v>3707.63</v>
      </c>
      <c r="I36" s="139">
        <v>30.250000000000039</v>
      </c>
      <c r="J36" s="139">
        <v>0</v>
      </c>
      <c r="K36" s="139">
        <f>'[5]May 23'!K36+'[5]June 23'!J36</f>
        <v>0</v>
      </c>
      <c r="L36" s="139">
        <v>0</v>
      </c>
      <c r="M36" s="139">
        <f>'[5]May 23'!M36+'[5]June 23'!L36</f>
        <v>0</v>
      </c>
      <c r="N36" s="139">
        <f t="shared" si="1"/>
        <v>30.250000000000039</v>
      </c>
      <c r="O36" s="139">
        <v>36.379999999999995</v>
      </c>
      <c r="P36" s="139">
        <v>0</v>
      </c>
      <c r="Q36" s="139">
        <f>'[5]May 23'!Q36+'[5]June 23'!P36</f>
        <v>0</v>
      </c>
      <c r="R36" s="139">
        <v>0</v>
      </c>
      <c r="S36" s="139">
        <f>'[5]May 23'!S36+'[5]June 23'!R36</f>
        <v>0</v>
      </c>
      <c r="T36" s="139">
        <f t="shared" si="2"/>
        <v>36.379999999999995</v>
      </c>
      <c r="U36" s="139">
        <f t="shared" si="3"/>
        <v>3774.26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5116.8799999999983</v>
      </c>
      <c r="D37" s="139">
        <v>7.01</v>
      </c>
      <c r="E37" s="139">
        <f>'[5]May 23'!E37+'[5]June 23'!D37</f>
        <v>29.379999999999995</v>
      </c>
      <c r="F37" s="139">
        <v>0</v>
      </c>
      <c r="G37" s="139">
        <f>'[5]May 23'!G37+'[5]June 23'!F37</f>
        <v>0</v>
      </c>
      <c r="H37" s="139">
        <f t="shared" si="0"/>
        <v>5123.8899999999985</v>
      </c>
      <c r="I37" s="139">
        <v>26.700000000000003</v>
      </c>
      <c r="J37" s="139">
        <v>0</v>
      </c>
      <c r="K37" s="139">
        <f>'[5]May 23'!K37+'[5]June 23'!J37</f>
        <v>0</v>
      </c>
      <c r="L37" s="139">
        <v>0</v>
      </c>
      <c r="M37" s="139">
        <f>'[5]May 23'!M37+'[5]June 23'!L37</f>
        <v>0</v>
      </c>
      <c r="N37" s="139">
        <f t="shared" si="1"/>
        <v>26.700000000000003</v>
      </c>
      <c r="O37" s="139">
        <v>3.0599999999999996</v>
      </c>
      <c r="P37" s="139">
        <v>0</v>
      </c>
      <c r="Q37" s="139">
        <f>'[5]May 23'!Q37+'[5]June 23'!P37</f>
        <v>0</v>
      </c>
      <c r="R37" s="139">
        <v>0</v>
      </c>
      <c r="S37" s="139">
        <f>'[5]May 23'!S37+'[5]June 23'!R37</f>
        <v>0</v>
      </c>
      <c r="T37" s="139">
        <f t="shared" si="2"/>
        <v>3.0599999999999996</v>
      </c>
      <c r="U37" s="139">
        <f t="shared" si="3"/>
        <v>5153.6499999999987</v>
      </c>
    </row>
    <row r="38" spans="1:21" s="111" customFormat="1" ht="38.25" customHeight="1" x14ac:dyDescent="0.4">
      <c r="A38" s="240" t="s">
        <v>107</v>
      </c>
      <c r="B38" s="240"/>
      <c r="C38" s="141">
        <f>SUM(C34:C37)</f>
        <v>20148.489999999994</v>
      </c>
      <c r="D38" s="141">
        <f t="shared" ref="D38:U38" si="11">SUM(D34:D37)</f>
        <v>27.15</v>
      </c>
      <c r="E38" s="141">
        <f t="shared" si="11"/>
        <v>113.1</v>
      </c>
      <c r="F38" s="141">
        <f t="shared" si="11"/>
        <v>0</v>
      </c>
      <c r="G38" s="141">
        <f t="shared" si="11"/>
        <v>0</v>
      </c>
      <c r="H38" s="141">
        <f t="shared" si="11"/>
        <v>20175.639999999996</v>
      </c>
      <c r="I38" s="141">
        <f t="shared" si="11"/>
        <v>199.29000000000002</v>
      </c>
      <c r="J38" s="141">
        <f t="shared" si="11"/>
        <v>0</v>
      </c>
      <c r="K38" s="141">
        <f t="shared" si="11"/>
        <v>0.13</v>
      </c>
      <c r="L38" s="141">
        <f t="shared" si="11"/>
        <v>0</v>
      </c>
      <c r="M38" s="141">
        <f t="shared" si="11"/>
        <v>0</v>
      </c>
      <c r="N38" s="141">
        <f t="shared" si="11"/>
        <v>199.29000000000002</v>
      </c>
      <c r="O38" s="141">
        <f t="shared" si="11"/>
        <v>202.94</v>
      </c>
      <c r="P38" s="141">
        <f t="shared" si="11"/>
        <v>0</v>
      </c>
      <c r="Q38" s="141">
        <f t="shared" si="11"/>
        <v>0</v>
      </c>
      <c r="R38" s="141">
        <f t="shared" si="11"/>
        <v>0</v>
      </c>
      <c r="S38" s="141">
        <f t="shared" si="11"/>
        <v>0</v>
      </c>
      <c r="T38" s="141">
        <f t="shared" si="11"/>
        <v>202.94</v>
      </c>
      <c r="U38" s="141">
        <f t="shared" si="11"/>
        <v>20577.869999999995</v>
      </c>
    </row>
    <row r="39" spans="1:21" s="145" customFormat="1" ht="38.25" customHeight="1" x14ac:dyDescent="0.4">
      <c r="A39" s="243" t="s">
        <v>108</v>
      </c>
      <c r="B39" s="243"/>
      <c r="C39" s="141">
        <f>C38+C33+C28</f>
        <v>43286.608800000002</v>
      </c>
      <c r="D39" s="141">
        <f t="shared" ref="D39:U39" si="12">D38+D33+D28</f>
        <v>50.51</v>
      </c>
      <c r="E39" s="141">
        <f t="shared" si="12"/>
        <v>310.95799999999997</v>
      </c>
      <c r="F39" s="141">
        <f t="shared" si="12"/>
        <v>0</v>
      </c>
      <c r="G39" s="141">
        <f t="shared" si="12"/>
        <v>9.75</v>
      </c>
      <c r="H39" s="141">
        <f t="shared" si="12"/>
        <v>43337.118799999997</v>
      </c>
      <c r="I39" s="141">
        <f t="shared" si="12"/>
        <v>1481.8139999999999</v>
      </c>
      <c r="J39" s="141">
        <f t="shared" si="12"/>
        <v>5.43</v>
      </c>
      <c r="K39" s="141">
        <f t="shared" si="12"/>
        <v>11.393000000000001</v>
      </c>
      <c r="L39" s="141">
        <f t="shared" si="12"/>
        <v>0</v>
      </c>
      <c r="M39" s="141">
        <f t="shared" si="12"/>
        <v>0.02</v>
      </c>
      <c r="N39" s="141">
        <f t="shared" si="12"/>
        <v>1487.2440000000001</v>
      </c>
      <c r="O39" s="141">
        <f t="shared" si="12"/>
        <v>393.40199999999999</v>
      </c>
      <c r="P39" s="141">
        <f t="shared" si="12"/>
        <v>0.05</v>
      </c>
      <c r="Q39" s="141">
        <f t="shared" si="12"/>
        <v>0.16999999999999998</v>
      </c>
      <c r="R39" s="141">
        <f t="shared" si="12"/>
        <v>0</v>
      </c>
      <c r="S39" s="141">
        <f t="shared" si="12"/>
        <v>0</v>
      </c>
      <c r="T39" s="141">
        <f t="shared" si="12"/>
        <v>393.452</v>
      </c>
      <c r="U39" s="141">
        <f t="shared" si="12"/>
        <v>45217.8148</v>
      </c>
    </row>
    <row r="40" spans="1:21" ht="38.25" customHeight="1" x14ac:dyDescent="0.35">
      <c r="A40" s="171">
        <v>25</v>
      </c>
      <c r="B40" s="172" t="s">
        <v>109</v>
      </c>
      <c r="C40" s="139">
        <v>11877.423999999997</v>
      </c>
      <c r="D40" s="139">
        <v>19.45</v>
      </c>
      <c r="E40" s="139">
        <f>'[5]May 23'!E40+'[5]June 23'!D40</f>
        <v>39.25</v>
      </c>
      <c r="F40" s="139">
        <v>0</v>
      </c>
      <c r="G40" s="139">
        <f>'[5]May 23'!G40+'[5]June 23'!F40</f>
        <v>0</v>
      </c>
      <c r="H40" s="139">
        <f t="shared" si="0"/>
        <v>11896.873999999998</v>
      </c>
      <c r="I40" s="139">
        <v>198.73</v>
      </c>
      <c r="J40" s="139">
        <v>0</v>
      </c>
      <c r="K40" s="139">
        <f>'[5]May 23'!K40+'[5]June 23'!J40</f>
        <v>0</v>
      </c>
      <c r="L40" s="139">
        <v>0</v>
      </c>
      <c r="M40" s="139">
        <f>'[5]May 23'!M40+'[5]June 23'!L40</f>
        <v>0</v>
      </c>
      <c r="N40" s="139">
        <f t="shared" si="1"/>
        <v>198.73</v>
      </c>
      <c r="O40" s="139">
        <v>106.93</v>
      </c>
      <c r="P40" s="139">
        <v>0</v>
      </c>
      <c r="Q40" s="139">
        <f>'[5]May 23'!Q40+'[5]June 23'!P40</f>
        <v>0</v>
      </c>
      <c r="R40" s="139">
        <v>0</v>
      </c>
      <c r="S40" s="139">
        <f>'[5]May 23'!S40+'[5]June 23'!R40</f>
        <v>0</v>
      </c>
      <c r="T40" s="139">
        <f t="shared" si="2"/>
        <v>106.93</v>
      </c>
      <c r="U40" s="139">
        <f t="shared" si="3"/>
        <v>12202.533999999998</v>
      </c>
    </row>
    <row r="41" spans="1:21" ht="38.25" customHeight="1" x14ac:dyDescent="0.35">
      <c r="A41" s="171">
        <v>26</v>
      </c>
      <c r="B41" s="172" t="s">
        <v>110</v>
      </c>
      <c r="C41" s="139">
        <v>8509.028999999995</v>
      </c>
      <c r="D41" s="139">
        <f>3.02+40.91</f>
        <v>43.93</v>
      </c>
      <c r="E41" s="139">
        <f>'[5]May 23'!E41+'[5]June 23'!D41</f>
        <v>105.56</v>
      </c>
      <c r="F41" s="139">
        <v>0</v>
      </c>
      <c r="G41" s="139">
        <f>'[5]May 23'!G41+'[5]June 23'!F41</f>
        <v>0</v>
      </c>
      <c r="H41" s="139">
        <f t="shared" si="0"/>
        <v>8552.9589999999953</v>
      </c>
      <c r="I41" s="139">
        <v>8.67</v>
      </c>
      <c r="J41" s="139">
        <v>0</v>
      </c>
      <c r="K41" s="139">
        <f>'[5]May 23'!K41+'[5]June 23'!J41</f>
        <v>0</v>
      </c>
      <c r="L41" s="139">
        <v>0</v>
      </c>
      <c r="M41" s="139">
        <f>'[5]May 23'!M41+'[5]June 23'!L41</f>
        <v>0</v>
      </c>
      <c r="N41" s="139">
        <f t="shared" si="1"/>
        <v>8.67</v>
      </c>
      <c r="O41" s="139">
        <v>141.29000000000002</v>
      </c>
      <c r="P41" s="139">
        <v>0</v>
      </c>
      <c r="Q41" s="139">
        <f>'[5]May 23'!Q41+'[5]June 23'!P41</f>
        <v>0</v>
      </c>
      <c r="R41" s="139">
        <v>0</v>
      </c>
      <c r="S41" s="139">
        <f>'[5]May 23'!S41+'[5]June 23'!R41</f>
        <v>0</v>
      </c>
      <c r="T41" s="139">
        <f t="shared" si="2"/>
        <v>141.29000000000002</v>
      </c>
      <c r="U41" s="139">
        <f t="shared" si="3"/>
        <v>8702.9189999999962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13994.132999999996</v>
      </c>
      <c r="D42" s="139">
        <v>23.81</v>
      </c>
      <c r="E42" s="139">
        <f>'[5]May 23'!E42+'[5]June 23'!D42</f>
        <v>64.27</v>
      </c>
      <c r="F42" s="139">
        <v>0</v>
      </c>
      <c r="G42" s="139">
        <f>'[5]May 23'!G42+'[5]June 23'!F42</f>
        <v>0</v>
      </c>
      <c r="H42" s="139">
        <f t="shared" si="0"/>
        <v>14017.942999999996</v>
      </c>
      <c r="I42" s="139">
        <v>15.62</v>
      </c>
      <c r="J42" s="139">
        <v>0</v>
      </c>
      <c r="K42" s="139">
        <f>'[5]May 23'!K42+'[5]June 23'!J42</f>
        <v>0</v>
      </c>
      <c r="L42" s="139">
        <v>0</v>
      </c>
      <c r="M42" s="139">
        <f>'[5]May 23'!M42+'[5]June 23'!L42</f>
        <v>0</v>
      </c>
      <c r="N42" s="139">
        <f t="shared" si="1"/>
        <v>15.62</v>
      </c>
      <c r="O42" s="139">
        <v>205.35</v>
      </c>
      <c r="P42" s="139">
        <v>0</v>
      </c>
      <c r="Q42" s="139">
        <f>'[5]May 23'!Q42+'[5]June 23'!P42</f>
        <v>0</v>
      </c>
      <c r="R42" s="139">
        <v>0</v>
      </c>
      <c r="S42" s="139">
        <f>'[5]May 23'!S42+'[5]June 23'!R42</f>
        <v>0</v>
      </c>
      <c r="T42" s="139">
        <f t="shared" si="2"/>
        <v>205.35</v>
      </c>
      <c r="U42" s="139">
        <f t="shared" si="3"/>
        <v>14238.912999999997</v>
      </c>
    </row>
    <row r="43" spans="1:21" ht="38.25" customHeight="1" x14ac:dyDescent="0.35">
      <c r="A43" s="171">
        <v>28</v>
      </c>
      <c r="B43" s="172" t="s">
        <v>112</v>
      </c>
      <c r="C43" s="139">
        <v>4277.7100000000009</v>
      </c>
      <c r="D43" s="139">
        <f>1.04+37.25</f>
        <v>38.29</v>
      </c>
      <c r="E43" s="139">
        <f>'[5]May 23'!E43+'[5]June 23'!D43</f>
        <v>114.03999999999999</v>
      </c>
      <c r="F43" s="139">
        <v>0</v>
      </c>
      <c r="G43" s="139">
        <f>'[5]May 23'!G43+'[5]June 23'!F43</f>
        <v>0</v>
      </c>
      <c r="H43" s="139">
        <f t="shared" si="0"/>
        <v>4316.0000000000009</v>
      </c>
      <c r="I43" s="139">
        <v>3.5</v>
      </c>
      <c r="J43" s="139">
        <v>0</v>
      </c>
      <c r="K43" s="139">
        <f>'[5]May 23'!K43+'[5]June 23'!J43</f>
        <v>0</v>
      </c>
      <c r="L43" s="139">
        <v>0</v>
      </c>
      <c r="M43" s="139">
        <f>'[5]May 23'!M43+'[5]June 23'!L43</f>
        <v>0</v>
      </c>
      <c r="N43" s="139">
        <f t="shared" si="1"/>
        <v>3.5</v>
      </c>
      <c r="O43" s="139">
        <v>29.8</v>
      </c>
      <c r="P43" s="139">
        <v>0</v>
      </c>
      <c r="Q43" s="139">
        <f>'[5]May 23'!Q43+'[5]June 23'!P43</f>
        <v>0</v>
      </c>
      <c r="R43" s="139">
        <v>0</v>
      </c>
      <c r="S43" s="139">
        <f>'[5]May 23'!S43+'[5]June 23'!R43</f>
        <v>0</v>
      </c>
      <c r="T43" s="139">
        <f t="shared" si="2"/>
        <v>29.8</v>
      </c>
      <c r="U43" s="139">
        <f t="shared" si="3"/>
        <v>4349.3000000000011</v>
      </c>
    </row>
    <row r="44" spans="1:21" s="111" customFormat="1" ht="38.25" customHeight="1" x14ac:dyDescent="0.4">
      <c r="A44" s="240" t="s">
        <v>109</v>
      </c>
      <c r="B44" s="240"/>
      <c r="C44" s="141">
        <f>SUM(C40:C43)</f>
        <v>38658.295999999988</v>
      </c>
      <c r="D44" s="141">
        <f t="shared" ref="D44:U44" si="13">SUM(D40:D43)</f>
        <v>125.47999999999999</v>
      </c>
      <c r="E44" s="141">
        <f t="shared" si="13"/>
        <v>323.12</v>
      </c>
      <c r="F44" s="141">
        <f t="shared" si="13"/>
        <v>0</v>
      </c>
      <c r="G44" s="141">
        <f t="shared" si="13"/>
        <v>0</v>
      </c>
      <c r="H44" s="141">
        <f t="shared" si="13"/>
        <v>38783.775999999983</v>
      </c>
      <c r="I44" s="141">
        <f t="shared" si="13"/>
        <v>226.51999999999998</v>
      </c>
      <c r="J44" s="141">
        <f t="shared" si="13"/>
        <v>0</v>
      </c>
      <c r="K44" s="141">
        <f t="shared" si="13"/>
        <v>0</v>
      </c>
      <c r="L44" s="141">
        <f t="shared" si="13"/>
        <v>0</v>
      </c>
      <c r="M44" s="141">
        <f t="shared" si="13"/>
        <v>0</v>
      </c>
      <c r="N44" s="141">
        <f t="shared" si="13"/>
        <v>226.51999999999998</v>
      </c>
      <c r="O44" s="141">
        <f t="shared" si="13"/>
        <v>483.37000000000006</v>
      </c>
      <c r="P44" s="141">
        <f t="shared" si="13"/>
        <v>0</v>
      </c>
      <c r="Q44" s="141">
        <f t="shared" si="13"/>
        <v>0</v>
      </c>
      <c r="R44" s="141">
        <f t="shared" si="13"/>
        <v>0</v>
      </c>
      <c r="S44" s="141">
        <f t="shared" si="13"/>
        <v>0</v>
      </c>
      <c r="T44" s="141">
        <f t="shared" si="13"/>
        <v>483.37000000000006</v>
      </c>
      <c r="U44" s="141">
        <f t="shared" si="13"/>
        <v>39493.665999999997</v>
      </c>
    </row>
    <row r="45" spans="1:21" ht="38.25" customHeight="1" x14ac:dyDescent="0.35">
      <c r="A45" s="171">
        <v>29</v>
      </c>
      <c r="B45" s="172" t="s">
        <v>113</v>
      </c>
      <c r="C45" s="139">
        <v>8422.4520999999986</v>
      </c>
      <c r="D45" s="139">
        <v>14.15</v>
      </c>
      <c r="E45" s="139">
        <f>'[5]May 23'!E45+'[5]June 23'!D45</f>
        <v>72.790000000000006</v>
      </c>
      <c r="F45" s="139">
        <v>0</v>
      </c>
      <c r="G45" s="139">
        <f>'[5]May 23'!G45+'[5]June 23'!F45</f>
        <v>0</v>
      </c>
      <c r="H45" s="139">
        <f t="shared" si="0"/>
        <v>8436.6020999999982</v>
      </c>
      <c r="I45" s="139">
        <v>261.06999999999994</v>
      </c>
      <c r="J45" s="139">
        <v>0.08</v>
      </c>
      <c r="K45" s="139">
        <f>'[5]May 23'!K45+'[5]June 23'!J45</f>
        <v>0.1</v>
      </c>
      <c r="L45" s="139">
        <v>0</v>
      </c>
      <c r="M45" s="139">
        <f>'[5]May 23'!M45+'[5]June 23'!L45</f>
        <v>0</v>
      </c>
      <c r="N45" s="139">
        <f t="shared" si="1"/>
        <v>261.14999999999992</v>
      </c>
      <c r="O45" s="139">
        <v>84.45</v>
      </c>
      <c r="P45" s="139">
        <v>0</v>
      </c>
      <c r="Q45" s="139">
        <f>'[5]May 23'!Q45+'[5]June 23'!P45</f>
        <v>0.06</v>
      </c>
      <c r="R45" s="139">
        <v>0</v>
      </c>
      <c r="S45" s="139">
        <f>'[5]May 23'!S45+'[5]June 23'!R45</f>
        <v>0</v>
      </c>
      <c r="T45" s="139">
        <f t="shared" si="2"/>
        <v>84.45</v>
      </c>
      <c r="U45" s="139">
        <f t="shared" si="3"/>
        <v>8782.2020999999986</v>
      </c>
    </row>
    <row r="46" spans="1:21" ht="38.25" customHeight="1" x14ac:dyDescent="0.35">
      <c r="A46" s="171">
        <v>30</v>
      </c>
      <c r="B46" s="172" t="s">
        <v>114</v>
      </c>
      <c r="C46" s="139">
        <v>8012.8550000000014</v>
      </c>
      <c r="D46" s="139">
        <v>36.47</v>
      </c>
      <c r="E46" s="139">
        <f>'[5]May 23'!E46+'[5]June 23'!D46</f>
        <v>102.09</v>
      </c>
      <c r="F46" s="139">
        <v>0</v>
      </c>
      <c r="G46" s="139">
        <f>'[5]May 23'!G46+'[5]June 23'!F46</f>
        <v>0</v>
      </c>
      <c r="H46" s="139">
        <f t="shared" si="0"/>
        <v>8049.3250000000016</v>
      </c>
      <c r="I46" s="139">
        <v>0</v>
      </c>
      <c r="J46" s="139">
        <v>0</v>
      </c>
      <c r="K46" s="139">
        <f>'[5]May 23'!K46+'[5]June 23'!J46</f>
        <v>0</v>
      </c>
      <c r="L46" s="139">
        <v>0</v>
      </c>
      <c r="M46" s="139">
        <f>'[5]May 23'!M46+'[5]June 23'!L46</f>
        <v>0</v>
      </c>
      <c r="N46" s="139">
        <f t="shared" si="1"/>
        <v>0</v>
      </c>
      <c r="O46" s="139">
        <v>47.03</v>
      </c>
      <c r="P46" s="139">
        <v>0</v>
      </c>
      <c r="Q46" s="139">
        <f>'[5]May 23'!Q46+'[5]June 23'!P46</f>
        <v>0</v>
      </c>
      <c r="R46" s="139">
        <v>0</v>
      </c>
      <c r="S46" s="139">
        <f>'[5]May 23'!S46+'[5]June 23'!R46</f>
        <v>0</v>
      </c>
      <c r="T46" s="139">
        <f t="shared" si="2"/>
        <v>47.03</v>
      </c>
      <c r="U46" s="139">
        <f t="shared" si="3"/>
        <v>8096.3550000000014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9328.1399999999958</v>
      </c>
      <c r="D47" s="139">
        <v>4.1399999999999997</v>
      </c>
      <c r="E47" s="139">
        <f>'[5]May 23'!E47+'[5]June 23'!D47</f>
        <v>254.57999999999998</v>
      </c>
      <c r="F47" s="139">
        <v>0</v>
      </c>
      <c r="G47" s="139">
        <f>'[5]May 23'!G47+'[5]June 23'!F47</f>
        <v>0</v>
      </c>
      <c r="H47" s="139">
        <f t="shared" si="0"/>
        <v>9332.2799999999952</v>
      </c>
      <c r="I47" s="139">
        <v>3.13</v>
      </c>
      <c r="J47" s="139">
        <v>0</v>
      </c>
      <c r="K47" s="139">
        <f>'[5]May 23'!K47+'[5]June 23'!J47</f>
        <v>0</v>
      </c>
      <c r="L47" s="139">
        <v>0</v>
      </c>
      <c r="M47" s="139">
        <f>'[5]May 23'!M47+'[5]June 23'!L47</f>
        <v>0</v>
      </c>
      <c r="N47" s="139">
        <f t="shared" si="1"/>
        <v>3.13</v>
      </c>
      <c r="O47" s="139">
        <v>118.94999999999999</v>
      </c>
      <c r="P47" s="139">
        <v>0</v>
      </c>
      <c r="Q47" s="139">
        <f>'[5]May 23'!Q47+'[5]June 23'!P47</f>
        <v>0</v>
      </c>
      <c r="R47" s="139">
        <v>0</v>
      </c>
      <c r="S47" s="139">
        <f>'[5]May 23'!S47+'[5]June 23'!R47</f>
        <v>0</v>
      </c>
      <c r="T47" s="139">
        <f t="shared" si="2"/>
        <v>118.94999999999999</v>
      </c>
      <c r="U47" s="139">
        <f t="shared" si="3"/>
        <v>9454.3599999999951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8641.8289999999979</v>
      </c>
      <c r="D48" s="139">
        <v>0.67</v>
      </c>
      <c r="E48" s="139">
        <f>'[5]May 23'!E48+'[5]June 23'!D48</f>
        <v>36.550000000000004</v>
      </c>
      <c r="F48" s="139">
        <v>0</v>
      </c>
      <c r="G48" s="139">
        <f>'[5]May 23'!G48+'[5]June 23'!F48</f>
        <v>0</v>
      </c>
      <c r="H48" s="139">
        <f t="shared" si="0"/>
        <v>8642.498999999998</v>
      </c>
      <c r="I48" s="139">
        <v>5.0249999999999995</v>
      </c>
      <c r="J48" s="139">
        <v>0</v>
      </c>
      <c r="K48" s="139">
        <f>'[5]May 23'!K48+'[5]June 23'!J48</f>
        <v>0</v>
      </c>
      <c r="L48" s="139">
        <v>0</v>
      </c>
      <c r="M48" s="139">
        <f>'[5]May 23'!M48+'[5]June 23'!L48</f>
        <v>0</v>
      </c>
      <c r="N48" s="139">
        <f t="shared" si="1"/>
        <v>5.0249999999999995</v>
      </c>
      <c r="O48" s="139">
        <v>4.21</v>
      </c>
      <c r="P48" s="139">
        <v>0</v>
      </c>
      <c r="Q48" s="139">
        <f>'[5]May 23'!Q48+'[5]June 23'!P48</f>
        <v>0</v>
      </c>
      <c r="R48" s="139">
        <v>0</v>
      </c>
      <c r="S48" s="139">
        <f>'[5]May 23'!S48+'[5]June 23'!R48</f>
        <v>0</v>
      </c>
      <c r="T48" s="139">
        <f t="shared" si="2"/>
        <v>4.21</v>
      </c>
      <c r="U48" s="139">
        <f t="shared" si="3"/>
        <v>8651.7339999999967</v>
      </c>
    </row>
    <row r="49" spans="1:21" s="111" customFormat="1" ht="38.25" customHeight="1" x14ac:dyDescent="0.4">
      <c r="A49" s="240" t="s">
        <v>117</v>
      </c>
      <c r="B49" s="240"/>
      <c r="C49" s="141">
        <f>SUM(C45:C48)</f>
        <v>34405.276099999988</v>
      </c>
      <c r="D49" s="141">
        <f t="shared" ref="D49:U49" si="14">SUM(D45:D48)</f>
        <v>55.43</v>
      </c>
      <c r="E49" s="141">
        <f t="shared" si="14"/>
        <v>466.01</v>
      </c>
      <c r="F49" s="141">
        <f t="shared" si="14"/>
        <v>0</v>
      </c>
      <c r="G49" s="141">
        <f t="shared" si="14"/>
        <v>0</v>
      </c>
      <c r="H49" s="141">
        <f t="shared" si="14"/>
        <v>34460.706099999996</v>
      </c>
      <c r="I49" s="141">
        <f t="shared" si="14"/>
        <v>269.22499999999991</v>
      </c>
      <c r="J49" s="141">
        <f t="shared" si="14"/>
        <v>0.08</v>
      </c>
      <c r="K49" s="141">
        <f t="shared" si="14"/>
        <v>0.1</v>
      </c>
      <c r="L49" s="141">
        <f t="shared" si="14"/>
        <v>0</v>
      </c>
      <c r="M49" s="141">
        <f t="shared" si="14"/>
        <v>0</v>
      </c>
      <c r="N49" s="141">
        <f t="shared" si="14"/>
        <v>269.30499999999989</v>
      </c>
      <c r="O49" s="141">
        <f t="shared" si="14"/>
        <v>254.64000000000001</v>
      </c>
      <c r="P49" s="141">
        <f t="shared" si="14"/>
        <v>0</v>
      </c>
      <c r="Q49" s="141">
        <f t="shared" si="14"/>
        <v>0.06</v>
      </c>
      <c r="R49" s="141">
        <f t="shared" si="14"/>
        <v>0</v>
      </c>
      <c r="S49" s="141">
        <f t="shared" si="14"/>
        <v>0</v>
      </c>
      <c r="T49" s="141">
        <f t="shared" si="14"/>
        <v>254.64000000000001</v>
      </c>
      <c r="U49" s="141">
        <f t="shared" si="14"/>
        <v>34984.651099999988</v>
      </c>
    </row>
    <row r="50" spans="1:21" s="145" customFormat="1" ht="38.25" customHeight="1" x14ac:dyDescent="0.4">
      <c r="A50" s="243" t="s">
        <v>118</v>
      </c>
      <c r="B50" s="243"/>
      <c r="C50" s="141">
        <f>C49+C44</f>
        <v>73063.572099999976</v>
      </c>
      <c r="D50" s="141">
        <f t="shared" ref="D50:U50" si="15">D49+D44</f>
        <v>180.91</v>
      </c>
      <c r="E50" s="141">
        <f t="shared" si="15"/>
        <v>789.13</v>
      </c>
      <c r="F50" s="141">
        <f t="shared" si="15"/>
        <v>0</v>
      </c>
      <c r="G50" s="141">
        <f t="shared" si="15"/>
        <v>0</v>
      </c>
      <c r="H50" s="141">
        <f t="shared" si="15"/>
        <v>73244.482099999979</v>
      </c>
      <c r="I50" s="141">
        <f t="shared" si="15"/>
        <v>495.74499999999989</v>
      </c>
      <c r="J50" s="141">
        <f t="shared" si="15"/>
        <v>0.08</v>
      </c>
      <c r="K50" s="141">
        <f t="shared" si="15"/>
        <v>0.1</v>
      </c>
      <c r="L50" s="141">
        <f t="shared" si="15"/>
        <v>0</v>
      </c>
      <c r="M50" s="141">
        <f t="shared" si="15"/>
        <v>0</v>
      </c>
      <c r="N50" s="141">
        <f t="shared" si="15"/>
        <v>495.82499999999987</v>
      </c>
      <c r="O50" s="141">
        <f t="shared" si="15"/>
        <v>738.0100000000001</v>
      </c>
      <c r="P50" s="141">
        <f t="shared" si="15"/>
        <v>0</v>
      </c>
      <c r="Q50" s="141">
        <f t="shared" si="15"/>
        <v>0.06</v>
      </c>
      <c r="R50" s="141">
        <f t="shared" si="15"/>
        <v>0</v>
      </c>
      <c r="S50" s="141">
        <f t="shared" si="15"/>
        <v>0</v>
      </c>
      <c r="T50" s="141">
        <f t="shared" si="15"/>
        <v>738.0100000000001</v>
      </c>
      <c r="U50" s="141">
        <f t="shared" si="15"/>
        <v>74478.317099999986</v>
      </c>
    </row>
    <row r="51" spans="1:21" s="146" customFormat="1" ht="38.25" customHeight="1" x14ac:dyDescent="0.4">
      <c r="A51" s="237" t="s">
        <v>119</v>
      </c>
      <c r="B51" s="237"/>
      <c r="C51" s="141">
        <f>C50+C39+C25</f>
        <v>120293.12689999997</v>
      </c>
      <c r="D51" s="141">
        <f t="shared" ref="D51:U51" si="16">D50+D39+D25</f>
        <v>232.61999999999998</v>
      </c>
      <c r="E51" s="141">
        <f t="shared" si="16"/>
        <v>1103.6579999999999</v>
      </c>
      <c r="F51" s="141">
        <f t="shared" si="16"/>
        <v>0</v>
      </c>
      <c r="G51" s="141">
        <f t="shared" si="16"/>
        <v>14.030000000000001</v>
      </c>
      <c r="H51" s="141">
        <f t="shared" si="16"/>
        <v>120525.74689999997</v>
      </c>
      <c r="I51" s="141">
        <f t="shared" si="16"/>
        <v>11007.032000000001</v>
      </c>
      <c r="J51" s="141">
        <f t="shared" si="16"/>
        <v>42.505000000000003</v>
      </c>
      <c r="K51" s="141">
        <f t="shared" si="16"/>
        <v>141.14099999999999</v>
      </c>
      <c r="L51" s="141">
        <f t="shared" si="16"/>
        <v>0</v>
      </c>
      <c r="M51" s="141">
        <f t="shared" si="16"/>
        <v>0.49</v>
      </c>
      <c r="N51" s="141">
        <f t="shared" si="16"/>
        <v>11049.537</v>
      </c>
      <c r="O51" s="141">
        <f t="shared" si="16"/>
        <v>1678.2600000000002</v>
      </c>
      <c r="P51" s="141">
        <f t="shared" si="16"/>
        <v>0.05</v>
      </c>
      <c r="Q51" s="141">
        <f t="shared" si="16"/>
        <v>1.53</v>
      </c>
      <c r="R51" s="141">
        <f t="shared" si="16"/>
        <v>30.8</v>
      </c>
      <c r="S51" s="141">
        <f t="shared" si="16"/>
        <v>31.26</v>
      </c>
      <c r="T51" s="141">
        <f t="shared" si="16"/>
        <v>1647.51</v>
      </c>
      <c r="U51" s="141">
        <f t="shared" si="16"/>
        <v>133222.79389999999</v>
      </c>
    </row>
    <row r="52" spans="1:21" s="111" customFormat="1" ht="24" customHeight="1" x14ac:dyDescent="0.4">
      <c r="A52" s="115"/>
      <c r="B52" s="115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</row>
    <row r="53" spans="1:21" s="111" customFormat="1" ht="19.5" customHeight="1" x14ac:dyDescent="0.4">
      <c r="A53" s="115"/>
      <c r="B53" s="115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</row>
    <row r="54" spans="1:21" s="115" customFormat="1" ht="24.75" hidden="1" customHeight="1" x14ac:dyDescent="0.4">
      <c r="B54" s="174"/>
      <c r="C54" s="189" t="s">
        <v>54</v>
      </c>
      <c r="D54" s="189"/>
      <c r="E54" s="189"/>
      <c r="F54" s="189"/>
      <c r="G54" s="189"/>
      <c r="H54" s="118"/>
      <c r="I54" s="174"/>
      <c r="J54" s="174">
        <f>D51+J51+P51-F51-L51-R51</f>
        <v>244.375</v>
      </c>
      <c r="K54" s="174"/>
      <c r="L54" s="174"/>
      <c r="M54" s="174"/>
      <c r="N54" s="174"/>
      <c r="R54" s="174"/>
      <c r="U54" s="174"/>
    </row>
    <row r="55" spans="1:21" s="115" customFormat="1" ht="30" hidden="1" customHeight="1" x14ac:dyDescent="0.35">
      <c r="B55" s="174"/>
      <c r="C55" s="189" t="s">
        <v>55</v>
      </c>
      <c r="D55" s="189"/>
      <c r="E55" s="189"/>
      <c r="F55" s="189"/>
      <c r="G55" s="189"/>
      <c r="H55" s="119"/>
      <c r="I55" s="174"/>
      <c r="J55" s="174">
        <f>E51+K51+Q51-G51-M51-S51</f>
        <v>1200.549</v>
      </c>
      <c r="K55" s="174"/>
      <c r="L55" s="174"/>
      <c r="M55" s="174"/>
      <c r="N55" s="174"/>
      <c r="R55" s="174"/>
      <c r="T55" s="174"/>
    </row>
    <row r="56" spans="1:21" ht="33" hidden="1" customHeight="1" x14ac:dyDescent="0.5">
      <c r="C56" s="189" t="s">
        <v>56</v>
      </c>
      <c r="D56" s="189"/>
      <c r="E56" s="189"/>
      <c r="F56" s="189"/>
      <c r="G56" s="189"/>
      <c r="H56" s="119"/>
      <c r="I56" s="121"/>
      <c r="J56" s="174">
        <f>H51+N51+T51</f>
        <v>133222.79389999999</v>
      </c>
      <c r="K56" s="119"/>
      <c r="L56" s="119"/>
      <c r="M56" s="142" t="e">
        <f>#REF!+'Sep-2023'!J54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74"/>
      <c r="E57" s="174"/>
      <c r="F57" s="174"/>
      <c r="G57" s="174"/>
      <c r="H57" s="119"/>
      <c r="I57" s="121"/>
      <c r="J57" s="174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74"/>
      <c r="E58" s="174"/>
      <c r="F58" s="174"/>
      <c r="G58" s="174"/>
      <c r="H58" s="119"/>
      <c r="I58" s="121"/>
      <c r="J58" s="174"/>
      <c r="K58" s="119"/>
      <c r="L58" s="119"/>
      <c r="M58" s="142" t="e">
        <f>#REF!+'Sep-2023'!J54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32" t="s">
        <v>57</v>
      </c>
      <c r="C59" s="232"/>
      <c r="D59" s="232"/>
      <c r="E59" s="232"/>
      <c r="F59" s="232"/>
      <c r="G59" s="153"/>
      <c r="H59" s="154"/>
      <c r="I59" s="155"/>
      <c r="J59" s="234"/>
      <c r="K59" s="233"/>
      <c r="L59" s="233"/>
      <c r="M59" s="169" t="e">
        <f>#REF!+'Sep-2023'!J54</f>
        <v>#REF!</v>
      </c>
      <c r="N59" s="154"/>
      <c r="O59" s="154"/>
      <c r="P59" s="177"/>
      <c r="Q59" s="232" t="s">
        <v>58</v>
      </c>
      <c r="R59" s="232"/>
      <c r="S59" s="232"/>
      <c r="T59" s="232"/>
      <c r="U59" s="232"/>
    </row>
    <row r="60" spans="1:21" s="152" customFormat="1" ht="37.5" hidden="1" customHeight="1" x14ac:dyDescent="0.45">
      <c r="B60" s="232" t="s">
        <v>59</v>
      </c>
      <c r="C60" s="232"/>
      <c r="D60" s="232"/>
      <c r="E60" s="232"/>
      <c r="F60" s="232"/>
      <c r="G60" s="154"/>
      <c r="H60" s="153"/>
      <c r="I60" s="156"/>
      <c r="J60" s="157"/>
      <c r="K60" s="176"/>
      <c r="L60" s="157"/>
      <c r="M60" s="154"/>
      <c r="N60" s="153"/>
      <c r="O60" s="154"/>
      <c r="P60" s="177"/>
      <c r="Q60" s="232" t="s">
        <v>59</v>
      </c>
      <c r="R60" s="232"/>
      <c r="S60" s="232"/>
      <c r="T60" s="232"/>
      <c r="U60" s="232"/>
    </row>
    <row r="61" spans="1:21" s="152" customFormat="1" ht="37.5" hidden="1" customHeight="1" x14ac:dyDescent="0.45">
      <c r="I61" s="158"/>
      <c r="J61" s="233" t="s">
        <v>61</v>
      </c>
      <c r="K61" s="233"/>
      <c r="L61" s="233"/>
      <c r="M61" s="159" t="e">
        <f>#REF!+'Sep-2023'!J54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#REF!+'Sep-2023'!J54</f>
        <v>#REF!</v>
      </c>
      <c r="I62" s="158"/>
      <c r="J62" s="233" t="s">
        <v>62</v>
      </c>
      <c r="K62" s="233"/>
      <c r="L62" s="233"/>
      <c r="M62" s="159" t="e">
        <f>#REF!+'Sep-2023'!J54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R5:S5"/>
    <mergeCell ref="T5:T6"/>
    <mergeCell ref="I5:I6"/>
    <mergeCell ref="J5:K5"/>
    <mergeCell ref="L5:M5"/>
    <mergeCell ref="N5:N6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1:B11"/>
    <mergeCell ref="F5:G5"/>
    <mergeCell ref="H5:H6"/>
    <mergeCell ref="B60:F60"/>
    <mergeCell ref="Q60:U60"/>
    <mergeCell ref="J61:L61"/>
    <mergeCell ref="J62:L62"/>
    <mergeCell ref="C54:G54"/>
    <mergeCell ref="C55:G55"/>
    <mergeCell ref="C56:G56"/>
    <mergeCell ref="B59:F59"/>
    <mergeCell ref="J59:L59"/>
    <mergeCell ref="Q59:U5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zoomScale="40" zoomScaleNormal="40" workbookViewId="0">
      <selection activeCell="Q7" sqref="Q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3" width="25.42578125" style="107" customWidth="1"/>
    <col min="14" max="14" width="27.7109375" style="107" bestFit="1" customWidth="1"/>
    <col min="15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.28515625" style="123" bestFit="1" customWidth="1"/>
    <col min="22" max="16384" width="9.140625" style="107"/>
  </cols>
  <sheetData>
    <row r="1" spans="1:21" ht="78" customHeight="1" x14ac:dyDescent="0.35">
      <c r="A1" s="246" t="s">
        <v>123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</row>
    <row r="2" spans="1:21" ht="54" customHeight="1" x14ac:dyDescent="0.35">
      <c r="A2" s="248" t="s">
        <v>137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1" ht="32.25" customHeight="1" x14ac:dyDescent="0.35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</row>
    <row r="4" spans="1:21" s="108" customFormat="1" ht="43.5" customHeight="1" x14ac:dyDescent="0.25">
      <c r="A4" s="250" t="s">
        <v>122</v>
      </c>
      <c r="B4" s="235" t="s">
        <v>121</v>
      </c>
      <c r="C4" s="192" t="s">
        <v>131</v>
      </c>
      <c r="D4" s="193"/>
      <c r="E4" s="193"/>
      <c r="F4" s="193"/>
      <c r="G4" s="193"/>
      <c r="H4" s="193"/>
      <c r="I4" s="192" t="s">
        <v>130</v>
      </c>
      <c r="J4" s="193"/>
      <c r="K4" s="193"/>
      <c r="L4" s="193"/>
      <c r="M4" s="193"/>
      <c r="N4" s="193"/>
      <c r="O4" s="192" t="s">
        <v>129</v>
      </c>
      <c r="P4" s="193"/>
      <c r="Q4" s="193"/>
      <c r="R4" s="193"/>
      <c r="S4" s="193"/>
      <c r="T4" s="193"/>
      <c r="U4" s="175"/>
    </row>
    <row r="5" spans="1:21" s="108" customFormat="1" ht="54.75" customHeight="1" x14ac:dyDescent="0.25">
      <c r="A5" s="252"/>
      <c r="B5" s="253"/>
      <c r="C5" s="244" t="s">
        <v>6</v>
      </c>
      <c r="D5" s="238" t="s">
        <v>127</v>
      </c>
      <c r="E5" s="239"/>
      <c r="F5" s="238" t="s">
        <v>126</v>
      </c>
      <c r="G5" s="239"/>
      <c r="H5" s="244" t="s">
        <v>9</v>
      </c>
      <c r="I5" s="244" t="s">
        <v>6</v>
      </c>
      <c r="J5" s="238" t="s">
        <v>127</v>
      </c>
      <c r="K5" s="239"/>
      <c r="L5" s="238" t="s">
        <v>126</v>
      </c>
      <c r="M5" s="239"/>
      <c r="N5" s="244" t="s">
        <v>9</v>
      </c>
      <c r="O5" s="244" t="s">
        <v>6</v>
      </c>
      <c r="P5" s="238" t="s">
        <v>127</v>
      </c>
      <c r="Q5" s="239"/>
      <c r="R5" s="238" t="s">
        <v>126</v>
      </c>
      <c r="S5" s="239"/>
      <c r="T5" s="244" t="s">
        <v>9</v>
      </c>
      <c r="U5" s="235" t="s">
        <v>128</v>
      </c>
    </row>
    <row r="6" spans="1:21" s="108" customFormat="1" ht="38.25" customHeight="1" x14ac:dyDescent="0.25">
      <c r="A6" s="252"/>
      <c r="B6" s="236"/>
      <c r="C6" s="245"/>
      <c r="D6" s="172" t="s">
        <v>124</v>
      </c>
      <c r="E6" s="172" t="s">
        <v>125</v>
      </c>
      <c r="F6" s="172" t="s">
        <v>124</v>
      </c>
      <c r="G6" s="172" t="s">
        <v>125</v>
      </c>
      <c r="H6" s="245"/>
      <c r="I6" s="245"/>
      <c r="J6" s="172" t="s">
        <v>124</v>
      </c>
      <c r="K6" s="172" t="s">
        <v>125</v>
      </c>
      <c r="L6" s="172" t="s">
        <v>124</v>
      </c>
      <c r="M6" s="172" t="s">
        <v>125</v>
      </c>
      <c r="N6" s="245"/>
      <c r="O6" s="245"/>
      <c r="P6" s="172" t="s">
        <v>124</v>
      </c>
      <c r="Q6" s="172" t="s">
        <v>125</v>
      </c>
      <c r="R6" s="172" t="s">
        <v>124</v>
      </c>
      <c r="S6" s="172" t="s">
        <v>125</v>
      </c>
      <c r="T6" s="245"/>
      <c r="U6" s="236"/>
    </row>
    <row r="7" spans="1:21" ht="38.25" customHeight="1" x14ac:dyDescent="0.35">
      <c r="A7" s="171">
        <v>1</v>
      </c>
      <c r="B7" s="172" t="s">
        <v>78</v>
      </c>
      <c r="C7" s="139">
        <v>7.179999999999982</v>
      </c>
      <c r="D7" s="139">
        <v>0</v>
      </c>
      <c r="E7" s="139">
        <f>'[5]June 23'!E7+'[5]July 2023'!D7</f>
        <v>0</v>
      </c>
      <c r="F7" s="139">
        <v>0</v>
      </c>
      <c r="G7" s="139">
        <f>'[5]June 23'!G7+'[5]July 2023'!F7</f>
        <v>0</v>
      </c>
      <c r="H7" s="139">
        <f>C7+D7-F7</f>
        <v>7.179999999999982</v>
      </c>
      <c r="I7" s="139">
        <v>721.50699999999972</v>
      </c>
      <c r="J7" s="139">
        <v>1.5</v>
      </c>
      <c r="K7" s="139">
        <f>'[5]June 23'!K7+'[5]July 2023'!J7</f>
        <v>8.5500000000000007</v>
      </c>
      <c r="L7" s="139">
        <v>0</v>
      </c>
      <c r="M7" s="139">
        <f>'[5]June 23'!M7+'[5]July 2023'!L7</f>
        <v>0</v>
      </c>
      <c r="N7" s="139">
        <f>I7+J7-L7</f>
        <v>723.00699999999972</v>
      </c>
      <c r="O7" s="139">
        <v>8.436000000000007</v>
      </c>
      <c r="P7" s="139">
        <v>0</v>
      </c>
      <c r="Q7" s="139">
        <f>'[5]June 23'!Q7+'[5]July 2023'!P7</f>
        <v>0</v>
      </c>
      <c r="R7" s="139">
        <v>0</v>
      </c>
      <c r="S7" s="139">
        <f>'[5]June 23'!S7+'[5]July 2023'!R7</f>
        <v>0</v>
      </c>
      <c r="T7" s="139">
        <f>O7+P7-R7</f>
        <v>8.436000000000007</v>
      </c>
      <c r="U7" s="139">
        <f>H7+N7+T7</f>
        <v>738.62299999999971</v>
      </c>
    </row>
    <row r="8" spans="1:21" ht="38.25" customHeight="1" x14ac:dyDescent="0.35">
      <c r="A8" s="171">
        <v>2</v>
      </c>
      <c r="B8" s="172" t="s">
        <v>79</v>
      </c>
      <c r="C8" s="139">
        <v>265.98999999999995</v>
      </c>
      <c r="D8" s="139">
        <v>0</v>
      </c>
      <c r="E8" s="139">
        <f>'[5]June 23'!E8+'[5]July 2023'!D8</f>
        <v>0</v>
      </c>
      <c r="F8" s="139">
        <v>0</v>
      </c>
      <c r="G8" s="139">
        <f>'[5]June 23'!G8+'[5]July 2023'!F8</f>
        <v>0</v>
      </c>
      <c r="H8" s="139">
        <f t="shared" ref="H8:H48" si="0">C8+D8-F8</f>
        <v>265.98999999999995</v>
      </c>
      <c r="I8" s="139">
        <v>431.59100000000012</v>
      </c>
      <c r="J8" s="139">
        <v>9.0050000000000008</v>
      </c>
      <c r="K8" s="139">
        <f>'[5]June 23'!K8+'[5]July 2023'!J8</f>
        <v>42.45000000000001</v>
      </c>
      <c r="L8" s="139">
        <v>0</v>
      </c>
      <c r="M8" s="139">
        <f>'[5]June 23'!M8+'[5]July 2023'!L8</f>
        <v>0</v>
      </c>
      <c r="N8" s="139">
        <f t="shared" ref="N8:N48" si="1">I8+J8-L8</f>
        <v>440.59600000000012</v>
      </c>
      <c r="O8" s="139">
        <v>66.290000000000006</v>
      </c>
      <c r="P8" s="139">
        <v>0</v>
      </c>
      <c r="Q8" s="139">
        <f>'[5]June 23'!Q8+'[5]July 2023'!P8</f>
        <v>0</v>
      </c>
      <c r="R8" s="139">
        <v>0</v>
      </c>
      <c r="S8" s="139">
        <f>'[5]June 23'!S8+'[5]July 2023'!R8</f>
        <v>0</v>
      </c>
      <c r="T8" s="139">
        <f t="shared" ref="T8:T48" si="2">O8+P8-R8</f>
        <v>66.290000000000006</v>
      </c>
      <c r="U8" s="139">
        <f t="shared" ref="U8:U48" si="3">H8+N8+T8</f>
        <v>772.87599999999998</v>
      </c>
    </row>
    <row r="9" spans="1:21" ht="38.25" customHeight="1" x14ac:dyDescent="0.35">
      <c r="A9" s="171">
        <v>3</v>
      </c>
      <c r="B9" s="172" t="s">
        <v>80</v>
      </c>
      <c r="C9" s="139">
        <v>209.16</v>
      </c>
      <c r="D9" s="139">
        <v>0</v>
      </c>
      <c r="E9" s="139">
        <f>'[5]June 23'!E9+'[5]July 2023'!D9</f>
        <v>0</v>
      </c>
      <c r="F9" s="139">
        <v>0</v>
      </c>
      <c r="G9" s="139">
        <f>'[5]June 23'!G9+'[5]July 2023'!F9</f>
        <v>0</v>
      </c>
      <c r="H9" s="139">
        <f t="shared" si="0"/>
        <v>209.16</v>
      </c>
      <c r="I9" s="139">
        <v>923.49799999999993</v>
      </c>
      <c r="J9" s="139">
        <v>5.56</v>
      </c>
      <c r="K9" s="139">
        <f>'[5]June 23'!K9+'[5]July 2023'!J9</f>
        <v>25.81</v>
      </c>
      <c r="L9" s="139">
        <v>0</v>
      </c>
      <c r="M9" s="139">
        <f>'[5]June 23'!M9+'[5]July 2023'!L9</f>
        <v>0</v>
      </c>
      <c r="N9" s="139">
        <f t="shared" si="1"/>
        <v>929.05799999999988</v>
      </c>
      <c r="O9" s="139">
        <v>44.739999999999995</v>
      </c>
      <c r="P9" s="139">
        <v>0</v>
      </c>
      <c r="Q9" s="139">
        <f>'[5]June 23'!Q9+'[5]July 2023'!P9</f>
        <v>0</v>
      </c>
      <c r="R9" s="139">
        <v>0</v>
      </c>
      <c r="S9" s="139">
        <f>'[5]June 23'!S9+'[5]July 2023'!R9</f>
        <v>0</v>
      </c>
      <c r="T9" s="139">
        <f t="shared" si="2"/>
        <v>44.739999999999995</v>
      </c>
      <c r="U9" s="139">
        <f t="shared" si="3"/>
        <v>1182.9579999999999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0</v>
      </c>
      <c r="D10" s="139">
        <v>0</v>
      </c>
      <c r="E10" s="139">
        <f>'[5]June 23'!E10+'[5]July 2023'!D10</f>
        <v>0</v>
      </c>
      <c r="F10" s="139">
        <v>0</v>
      </c>
      <c r="G10" s="139">
        <f>'[5]June 23'!G10+'[5]July 2023'!F10</f>
        <v>0</v>
      </c>
      <c r="H10" s="139">
        <f t="shared" si="0"/>
        <v>0</v>
      </c>
      <c r="I10" s="139">
        <v>368.00099999999986</v>
      </c>
      <c r="J10" s="139">
        <v>0.13</v>
      </c>
      <c r="K10" s="139">
        <f>'[5]June 23'!K10+'[5]July 2023'!J10</f>
        <v>3.1580000000000004</v>
      </c>
      <c r="L10" s="139">
        <v>0</v>
      </c>
      <c r="M10" s="139">
        <f>'[5]June 23'!M10+'[5]July 2023'!L10</f>
        <v>0</v>
      </c>
      <c r="N10" s="139">
        <f t="shared" si="1"/>
        <v>368.13099999999986</v>
      </c>
      <c r="O10" s="139">
        <v>0.20000000000000007</v>
      </c>
      <c r="P10" s="139">
        <v>0</v>
      </c>
      <c r="Q10" s="139">
        <f>'[5]June 23'!Q10+'[5]July 2023'!P10</f>
        <v>0</v>
      </c>
      <c r="R10" s="139">
        <v>0</v>
      </c>
      <c r="S10" s="139">
        <f>'[5]June 23'!S10+'[5]July 2023'!R10</f>
        <v>0</v>
      </c>
      <c r="T10" s="139">
        <f t="shared" si="2"/>
        <v>0.20000000000000007</v>
      </c>
      <c r="U10" s="139">
        <f t="shared" si="3"/>
        <v>368.33099999999985</v>
      </c>
    </row>
    <row r="11" spans="1:21" s="111" customFormat="1" ht="38.25" customHeight="1" x14ac:dyDescent="0.4">
      <c r="A11" s="238" t="s">
        <v>82</v>
      </c>
      <c r="B11" s="239"/>
      <c r="C11" s="141">
        <f>SUM(C7:C10)</f>
        <v>482.32999999999993</v>
      </c>
      <c r="D11" s="141">
        <f t="shared" ref="D11:U11" si="4">SUM(D7:D10)</f>
        <v>0</v>
      </c>
      <c r="E11" s="141">
        <f t="shared" si="4"/>
        <v>0</v>
      </c>
      <c r="F11" s="141">
        <f t="shared" si="4"/>
        <v>0</v>
      </c>
      <c r="G11" s="141">
        <f t="shared" si="4"/>
        <v>0</v>
      </c>
      <c r="H11" s="141">
        <f t="shared" si="4"/>
        <v>482.32999999999993</v>
      </c>
      <c r="I11" s="141">
        <f t="shared" si="4"/>
        <v>2444.5969999999998</v>
      </c>
      <c r="J11" s="141">
        <f t="shared" si="4"/>
        <v>16.195</v>
      </c>
      <c r="K11" s="141">
        <f t="shared" si="4"/>
        <v>79.968000000000018</v>
      </c>
      <c r="L11" s="141">
        <f t="shared" si="4"/>
        <v>0</v>
      </c>
      <c r="M11" s="141">
        <f t="shared" si="4"/>
        <v>0</v>
      </c>
      <c r="N11" s="141">
        <f t="shared" si="4"/>
        <v>2460.7919999999995</v>
      </c>
      <c r="O11" s="141">
        <f t="shared" si="4"/>
        <v>119.66600000000001</v>
      </c>
      <c r="P11" s="141">
        <f t="shared" si="4"/>
        <v>0</v>
      </c>
      <c r="Q11" s="141">
        <f t="shared" si="4"/>
        <v>0</v>
      </c>
      <c r="R11" s="141">
        <f t="shared" si="4"/>
        <v>0</v>
      </c>
      <c r="S11" s="141">
        <f t="shared" si="4"/>
        <v>0</v>
      </c>
      <c r="T11" s="141">
        <f t="shared" si="4"/>
        <v>119.66600000000001</v>
      </c>
      <c r="U11" s="141">
        <f t="shared" si="4"/>
        <v>3062.7879999999991</v>
      </c>
    </row>
    <row r="12" spans="1:21" ht="38.25" customHeight="1" x14ac:dyDescent="0.35">
      <c r="A12" s="171">
        <v>4</v>
      </c>
      <c r="B12" s="172" t="s">
        <v>83</v>
      </c>
      <c r="C12" s="139">
        <v>22.179999999999609</v>
      </c>
      <c r="D12" s="139">
        <v>0</v>
      </c>
      <c r="E12" s="139">
        <f>'[5]June 23'!E12+'[5]July 2023'!D12</f>
        <v>0</v>
      </c>
      <c r="F12" s="139">
        <v>0</v>
      </c>
      <c r="G12" s="139">
        <f>'[5]June 23'!G12+'[5]July 2023'!F12</f>
        <v>0</v>
      </c>
      <c r="H12" s="139">
        <f t="shared" si="0"/>
        <v>22.179999999999609</v>
      </c>
      <c r="I12" s="139">
        <v>1287.8449999999998</v>
      </c>
      <c r="J12" s="182">
        <v>1.47</v>
      </c>
      <c r="K12" s="139">
        <f>'[5]June 23'!K12+'[5]July 2023'!J12</f>
        <v>12.88</v>
      </c>
      <c r="L12" s="139">
        <v>0</v>
      </c>
      <c r="M12" s="139">
        <f>'[5]June 23'!M12+'[5]July 2023'!L12</f>
        <v>0</v>
      </c>
      <c r="N12" s="139">
        <f t="shared" si="1"/>
        <v>1289.3149999999998</v>
      </c>
      <c r="O12" s="139">
        <v>1.9700000000000095</v>
      </c>
      <c r="P12" s="139">
        <v>0</v>
      </c>
      <c r="Q12" s="139">
        <f>'[5]June 23'!Q12+'[5]July 2023'!P12</f>
        <v>0</v>
      </c>
      <c r="R12" s="139">
        <v>0</v>
      </c>
      <c r="S12" s="139">
        <f>'[5]June 23'!S12+'[5]July 2023'!R12</f>
        <v>0</v>
      </c>
      <c r="T12" s="139">
        <f t="shared" si="2"/>
        <v>1.9700000000000095</v>
      </c>
      <c r="U12" s="139">
        <f t="shared" si="3"/>
        <v>1313.4649999999995</v>
      </c>
    </row>
    <row r="13" spans="1:21" ht="38.25" customHeight="1" x14ac:dyDescent="0.35">
      <c r="A13" s="171">
        <v>5</v>
      </c>
      <c r="B13" s="172" t="s">
        <v>84</v>
      </c>
      <c r="C13" s="139">
        <v>312.23000000000013</v>
      </c>
      <c r="D13" s="139">
        <v>0</v>
      </c>
      <c r="E13" s="139">
        <f>'[5]June 23'!E13+'[5]July 2023'!D13</f>
        <v>0</v>
      </c>
      <c r="F13" s="139">
        <v>0</v>
      </c>
      <c r="G13" s="139">
        <f>'[5]June 23'!G13+'[5]July 2023'!F13</f>
        <v>0</v>
      </c>
      <c r="H13" s="139">
        <f t="shared" si="0"/>
        <v>312.23000000000013</v>
      </c>
      <c r="I13" s="139">
        <v>551.08200000000022</v>
      </c>
      <c r="J13" s="182">
        <v>0.94</v>
      </c>
      <c r="K13" s="139">
        <f>'[5]June 23'!K13+'[5]July 2023'!J13</f>
        <v>6.49</v>
      </c>
      <c r="L13" s="139">
        <v>0</v>
      </c>
      <c r="M13" s="139">
        <f>'[5]June 23'!M13+'[5]July 2023'!L13</f>
        <v>0</v>
      </c>
      <c r="N13" s="139">
        <f t="shared" si="1"/>
        <v>552.02200000000028</v>
      </c>
      <c r="O13" s="139">
        <v>68.39</v>
      </c>
      <c r="P13" s="139">
        <v>0</v>
      </c>
      <c r="Q13" s="139">
        <f>'[5]June 23'!Q13+'[5]July 2023'!P13</f>
        <v>0</v>
      </c>
      <c r="R13" s="139">
        <v>0</v>
      </c>
      <c r="S13" s="139">
        <f>'[5]June 23'!S13+'[5]July 2023'!R13</f>
        <v>0</v>
      </c>
      <c r="T13" s="139">
        <f t="shared" si="2"/>
        <v>68.39</v>
      </c>
      <c r="U13" s="139">
        <f t="shared" si="3"/>
        <v>932.64200000000039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1216.4399999999994</v>
      </c>
      <c r="D14" s="139">
        <v>0</v>
      </c>
      <c r="E14" s="139">
        <f>'[5]June 23'!E14+'[5]July 2023'!D14</f>
        <v>0</v>
      </c>
      <c r="F14" s="139">
        <v>0</v>
      </c>
      <c r="G14" s="139">
        <f>'[5]June 23'!G14+'[5]July 2023'!F14</f>
        <v>0</v>
      </c>
      <c r="H14" s="139">
        <f t="shared" si="0"/>
        <v>1216.4399999999994</v>
      </c>
      <c r="I14" s="139">
        <v>921.07800000000032</v>
      </c>
      <c r="J14" s="182">
        <v>2.19</v>
      </c>
      <c r="K14" s="139">
        <f>'[5]June 23'!K14+'[5]July 2023'!J14</f>
        <v>19.77</v>
      </c>
      <c r="L14" s="139">
        <v>0</v>
      </c>
      <c r="M14" s="139">
        <f>'[5]June 23'!M14+'[5]July 2023'!L14</f>
        <v>0</v>
      </c>
      <c r="N14" s="139">
        <f t="shared" si="1"/>
        <v>923.26800000000037</v>
      </c>
      <c r="O14" s="139">
        <v>61.329999999999991</v>
      </c>
      <c r="P14" s="139">
        <v>0</v>
      </c>
      <c r="Q14" s="139">
        <f>'[5]June 23'!Q14+'[5]July 2023'!P14</f>
        <v>0</v>
      </c>
      <c r="R14" s="139">
        <v>0</v>
      </c>
      <c r="S14" s="139">
        <f>'[5]June 23'!S14+'[5]July 2023'!R14</f>
        <v>0</v>
      </c>
      <c r="T14" s="139">
        <f t="shared" si="2"/>
        <v>61.329999999999991</v>
      </c>
      <c r="U14" s="139">
        <f t="shared" si="3"/>
        <v>2201.0379999999996</v>
      </c>
    </row>
    <row r="15" spans="1:21" s="111" customFormat="1" ht="38.25" customHeight="1" x14ac:dyDescent="0.4">
      <c r="A15" s="238" t="s">
        <v>86</v>
      </c>
      <c r="B15" s="239"/>
      <c r="C15" s="141">
        <f>SUM(C12:C14)</f>
        <v>1550.849999999999</v>
      </c>
      <c r="D15" s="141">
        <f t="shared" ref="D15:U15" si="5">SUM(D12:D14)</f>
        <v>0</v>
      </c>
      <c r="E15" s="141">
        <f t="shared" si="5"/>
        <v>0</v>
      </c>
      <c r="F15" s="141">
        <f t="shared" si="5"/>
        <v>0</v>
      </c>
      <c r="G15" s="141">
        <f t="shared" si="5"/>
        <v>0</v>
      </c>
      <c r="H15" s="141">
        <f t="shared" si="5"/>
        <v>1550.849999999999</v>
      </c>
      <c r="I15" s="141">
        <f t="shared" si="5"/>
        <v>2760.0050000000006</v>
      </c>
      <c r="J15" s="141">
        <f t="shared" si="5"/>
        <v>4.5999999999999996</v>
      </c>
      <c r="K15" s="141">
        <f t="shared" si="5"/>
        <v>39.14</v>
      </c>
      <c r="L15" s="141">
        <f t="shared" si="5"/>
        <v>0</v>
      </c>
      <c r="M15" s="141">
        <f t="shared" si="5"/>
        <v>0</v>
      </c>
      <c r="N15" s="141">
        <f t="shared" si="5"/>
        <v>2764.6050000000005</v>
      </c>
      <c r="O15" s="141">
        <f t="shared" si="5"/>
        <v>131.69</v>
      </c>
      <c r="P15" s="141">
        <f t="shared" si="5"/>
        <v>0</v>
      </c>
      <c r="Q15" s="141">
        <f t="shared" si="5"/>
        <v>0</v>
      </c>
      <c r="R15" s="141">
        <f t="shared" si="5"/>
        <v>0</v>
      </c>
      <c r="S15" s="141">
        <f t="shared" si="5"/>
        <v>0</v>
      </c>
      <c r="T15" s="141">
        <f t="shared" si="5"/>
        <v>131.69</v>
      </c>
      <c r="U15" s="141">
        <f t="shared" si="5"/>
        <v>4447.1449999999995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753.87400000000036</v>
      </c>
      <c r="D16" s="139">
        <v>5.35</v>
      </c>
      <c r="E16" s="139">
        <f>'[5]June 23'!E16+'[5]July 2023'!D16</f>
        <v>7.2899999999999991</v>
      </c>
      <c r="F16" s="139">
        <v>0</v>
      </c>
      <c r="G16" s="139">
        <f>'[5]June 23'!G16+'[5]July 2023'!F16</f>
        <v>4.2300000000000004</v>
      </c>
      <c r="H16" s="139">
        <f t="shared" si="0"/>
        <v>759.22400000000039</v>
      </c>
      <c r="I16" s="139">
        <v>579.8760000000002</v>
      </c>
      <c r="J16" s="139">
        <v>0.69</v>
      </c>
      <c r="K16" s="139">
        <f>'[5]June 23'!K16+'[5]July 2023'!J16</f>
        <v>3.59</v>
      </c>
      <c r="L16" s="139">
        <v>0</v>
      </c>
      <c r="M16" s="139">
        <f>'[5]June 23'!M16+'[5]July 2023'!L16</f>
        <v>0</v>
      </c>
      <c r="N16" s="139">
        <f t="shared" si="1"/>
        <v>580.56600000000026</v>
      </c>
      <c r="O16" s="139">
        <v>146.69200000000004</v>
      </c>
      <c r="P16" s="139">
        <v>0</v>
      </c>
      <c r="Q16" s="139">
        <f>'[5]June 23'!Q16+'[5]July 2023'!P16</f>
        <v>0.08</v>
      </c>
      <c r="R16" s="139">
        <v>0</v>
      </c>
      <c r="S16" s="139">
        <f>'[5]June 23'!S16+'[5]July 2023'!R16</f>
        <v>30.830000000000002</v>
      </c>
      <c r="T16" s="139">
        <f t="shared" si="2"/>
        <v>146.69200000000004</v>
      </c>
      <c r="U16" s="139">
        <f t="shared" si="3"/>
        <v>1486.4820000000007</v>
      </c>
    </row>
    <row r="17" spans="1:21" ht="38.25" customHeight="1" x14ac:dyDescent="0.35">
      <c r="A17" s="171">
        <v>9</v>
      </c>
      <c r="B17" s="172" t="s">
        <v>120</v>
      </c>
      <c r="C17" s="139">
        <v>2.7259999999999476</v>
      </c>
      <c r="D17" s="139">
        <v>0</v>
      </c>
      <c r="E17" s="139">
        <f>'[5]June 23'!E17+'[5]July 2023'!D17</f>
        <v>0.05</v>
      </c>
      <c r="F17" s="139">
        <v>0</v>
      </c>
      <c r="G17" s="139">
        <f>'[5]June 23'!G17+'[5]July 2023'!F17</f>
        <v>0</v>
      </c>
      <c r="H17" s="139">
        <f t="shared" si="0"/>
        <v>2.7259999999999476</v>
      </c>
      <c r="I17" s="139">
        <v>600.31000000000006</v>
      </c>
      <c r="J17" s="139">
        <v>1.76</v>
      </c>
      <c r="K17" s="139">
        <f>'[5]June 23'!K17+'[5]July 2023'!J17</f>
        <v>13.38</v>
      </c>
      <c r="L17" s="139">
        <v>0</v>
      </c>
      <c r="M17" s="139">
        <f>'[5]June 23'!M17+'[5]July 2023'!L17</f>
        <v>0.43</v>
      </c>
      <c r="N17" s="139">
        <f t="shared" si="1"/>
        <v>602.07000000000005</v>
      </c>
      <c r="O17" s="139">
        <v>2.7399999999999998</v>
      </c>
      <c r="P17" s="139">
        <v>0</v>
      </c>
      <c r="Q17" s="139">
        <f>'[5]June 23'!Q17+'[5]July 2023'!P17</f>
        <v>1.22</v>
      </c>
      <c r="R17" s="139">
        <v>0</v>
      </c>
      <c r="S17" s="139">
        <f>'[5]June 23'!S17+'[5]July 2023'!R17</f>
        <v>0.43</v>
      </c>
      <c r="T17" s="139">
        <f t="shared" si="2"/>
        <v>2.7399999999999998</v>
      </c>
      <c r="U17" s="139">
        <f t="shared" si="3"/>
        <v>607.53600000000006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90.266000000000147</v>
      </c>
      <c r="D18" s="139">
        <v>0</v>
      </c>
      <c r="E18" s="139">
        <f>'[5]June 23'!E18+'[5]July 2023'!D18</f>
        <v>0.05</v>
      </c>
      <c r="F18" s="139">
        <v>0</v>
      </c>
      <c r="G18" s="139">
        <f>'[5]June 23'!G18+'[5]July 2023'!F18</f>
        <v>0.05</v>
      </c>
      <c r="H18" s="139">
        <f t="shared" si="0"/>
        <v>90.266000000000147</v>
      </c>
      <c r="I18" s="139">
        <v>620.81000000000006</v>
      </c>
      <c r="J18" s="139">
        <v>1.04</v>
      </c>
      <c r="K18" s="139">
        <f>'[5]June 23'!K18+'[5]July 2023'!J18</f>
        <v>4.5549999999999997</v>
      </c>
      <c r="L18" s="139">
        <v>0</v>
      </c>
      <c r="M18" s="139">
        <f>'[5]June 23'!M18+'[5]July 2023'!L18</f>
        <v>0</v>
      </c>
      <c r="N18" s="139">
        <f t="shared" si="1"/>
        <v>621.85</v>
      </c>
      <c r="O18" s="139">
        <v>35.689999999999991</v>
      </c>
      <c r="P18" s="139">
        <v>0</v>
      </c>
      <c r="Q18" s="139">
        <f>'[5]June 23'!Q18+'[5]July 2023'!P18</f>
        <v>0</v>
      </c>
      <c r="R18" s="139">
        <v>0</v>
      </c>
      <c r="S18" s="139">
        <f>'[5]June 23'!S18+'[5]July 2023'!R18</f>
        <v>0</v>
      </c>
      <c r="T18" s="139">
        <f t="shared" si="2"/>
        <v>35.689999999999991</v>
      </c>
      <c r="U18" s="139">
        <f t="shared" si="3"/>
        <v>747.80600000000015</v>
      </c>
    </row>
    <row r="19" spans="1:21" s="111" customFormat="1" ht="38.25" customHeight="1" x14ac:dyDescent="0.4">
      <c r="A19" s="238" t="s">
        <v>89</v>
      </c>
      <c r="B19" s="239"/>
      <c r="C19" s="141">
        <f>SUM(C16:C18)</f>
        <v>846.86600000000055</v>
      </c>
      <c r="D19" s="141">
        <f t="shared" ref="D19:U19" si="6">SUM(D16:D18)</f>
        <v>5.35</v>
      </c>
      <c r="E19" s="141">
        <f t="shared" si="6"/>
        <v>7.3899999999999988</v>
      </c>
      <c r="F19" s="141">
        <f t="shared" si="6"/>
        <v>0</v>
      </c>
      <c r="G19" s="141">
        <f t="shared" si="6"/>
        <v>4.28</v>
      </c>
      <c r="H19" s="141">
        <f t="shared" si="6"/>
        <v>852.21600000000058</v>
      </c>
      <c r="I19" s="141">
        <f t="shared" si="6"/>
        <v>1800.9960000000001</v>
      </c>
      <c r="J19" s="141">
        <f t="shared" si="6"/>
        <v>3.49</v>
      </c>
      <c r="K19" s="141">
        <f t="shared" si="6"/>
        <v>21.524999999999999</v>
      </c>
      <c r="L19" s="141">
        <f t="shared" si="6"/>
        <v>0</v>
      </c>
      <c r="M19" s="141">
        <f t="shared" si="6"/>
        <v>0.43</v>
      </c>
      <c r="N19" s="141">
        <f t="shared" si="6"/>
        <v>1804.4860000000003</v>
      </c>
      <c r="O19" s="141">
        <f t="shared" si="6"/>
        <v>185.12200000000004</v>
      </c>
      <c r="P19" s="141">
        <f t="shared" si="6"/>
        <v>0</v>
      </c>
      <c r="Q19" s="141">
        <f t="shared" si="6"/>
        <v>1.3</v>
      </c>
      <c r="R19" s="141">
        <f t="shared" si="6"/>
        <v>0</v>
      </c>
      <c r="S19" s="141">
        <f t="shared" si="6"/>
        <v>31.26</v>
      </c>
      <c r="T19" s="141">
        <f t="shared" si="6"/>
        <v>185.12200000000004</v>
      </c>
      <c r="U19" s="141">
        <f t="shared" si="6"/>
        <v>2841.824000000001</v>
      </c>
    </row>
    <row r="20" spans="1:21" ht="38.25" customHeight="1" x14ac:dyDescent="0.35">
      <c r="A20" s="171">
        <v>8</v>
      </c>
      <c r="B20" s="172" t="s">
        <v>91</v>
      </c>
      <c r="C20" s="139">
        <v>607.42999999999984</v>
      </c>
      <c r="D20" s="139">
        <v>0</v>
      </c>
      <c r="E20" s="139">
        <f>'[5]June 23'!E20+'[5]July 2023'!D20</f>
        <v>0</v>
      </c>
      <c r="F20" s="139">
        <v>0</v>
      </c>
      <c r="G20" s="139">
        <f>'[5]June 23'!G20+'[5]July 2023'!F20</f>
        <v>0</v>
      </c>
      <c r="H20" s="139">
        <f t="shared" si="0"/>
        <v>607.42999999999984</v>
      </c>
      <c r="I20" s="139">
        <v>753.06800000000021</v>
      </c>
      <c r="J20" s="139">
        <v>3.93</v>
      </c>
      <c r="K20" s="139">
        <f>'[5]June 23'!K20+'[5]July 2023'!J20</f>
        <v>8.61</v>
      </c>
      <c r="L20" s="139">
        <v>0</v>
      </c>
      <c r="M20" s="139">
        <f>'[5]June 23'!M20+'[5]July 2023'!L20</f>
        <v>0.02</v>
      </c>
      <c r="N20" s="139">
        <f t="shared" si="1"/>
        <v>756.99800000000016</v>
      </c>
      <c r="O20" s="139">
        <v>37.580000000000005</v>
      </c>
      <c r="P20" s="139">
        <v>0</v>
      </c>
      <c r="Q20" s="139">
        <f>'[5]June 23'!Q20+'[5]July 2023'!P20</f>
        <v>0</v>
      </c>
      <c r="R20" s="139">
        <v>0</v>
      </c>
      <c r="S20" s="139">
        <f>'[5]June 23'!S20+'[5]July 2023'!R20</f>
        <v>0</v>
      </c>
      <c r="T20" s="139">
        <f t="shared" si="2"/>
        <v>37.580000000000005</v>
      </c>
      <c r="U20" s="139">
        <f t="shared" si="3"/>
        <v>1402.0079999999998</v>
      </c>
    </row>
    <row r="21" spans="1:21" ht="38.25" customHeight="1" x14ac:dyDescent="0.35">
      <c r="A21" s="171">
        <v>9</v>
      </c>
      <c r="B21" s="172" t="s">
        <v>90</v>
      </c>
      <c r="C21" s="139">
        <v>2.0700000000000003</v>
      </c>
      <c r="D21" s="139">
        <v>0</v>
      </c>
      <c r="E21" s="139">
        <f>'[5]June 23'!E21+'[5]July 2023'!D21</f>
        <v>0</v>
      </c>
      <c r="F21" s="139">
        <v>0.87</v>
      </c>
      <c r="G21" s="139">
        <f>'[5]June 23'!G21+'[5]July 2023'!F21</f>
        <v>0.87</v>
      </c>
      <c r="H21" s="139">
        <f t="shared" si="0"/>
        <v>1.2000000000000002</v>
      </c>
      <c r="I21" s="139">
        <v>465.2170000000001</v>
      </c>
      <c r="J21" s="139">
        <v>0.8</v>
      </c>
      <c r="K21" s="139">
        <f>'[5]June 23'!K21+'[5]July 2023'!J21</f>
        <v>4.6100000000000003</v>
      </c>
      <c r="L21" s="139">
        <v>0</v>
      </c>
      <c r="M21" s="139">
        <f>'[5]June 23'!M21+'[5]July 2023'!L21</f>
        <v>0.02</v>
      </c>
      <c r="N21" s="139">
        <f t="shared" si="1"/>
        <v>466.01700000000011</v>
      </c>
      <c r="O21" s="139">
        <v>18.889999999999993</v>
      </c>
      <c r="P21" s="139">
        <v>0</v>
      </c>
      <c r="Q21" s="139">
        <f>'[5]June 23'!Q21+'[5]July 2023'!P21</f>
        <v>0</v>
      </c>
      <c r="R21" s="139">
        <v>16.239999999999998</v>
      </c>
      <c r="S21" s="139">
        <f>'[5]June 23'!S21+'[5]July 2023'!R21</f>
        <v>16.239999999999998</v>
      </c>
      <c r="T21" s="139">
        <f t="shared" si="2"/>
        <v>2.649999999999995</v>
      </c>
      <c r="U21" s="139">
        <f t="shared" si="3"/>
        <v>469.86700000000008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22.430000000000021</v>
      </c>
      <c r="D22" s="139">
        <v>0</v>
      </c>
      <c r="E22" s="139">
        <f>'[5]June 23'!E22+'[5]July 2023'!D22</f>
        <v>0</v>
      </c>
      <c r="F22" s="139">
        <v>0</v>
      </c>
      <c r="G22" s="139">
        <f>'[5]June 23'!G22+'[5]July 2023'!F22</f>
        <v>0</v>
      </c>
      <c r="H22" s="139">
        <f t="shared" si="0"/>
        <v>22.430000000000021</v>
      </c>
      <c r="I22" s="139">
        <v>699.40000000000009</v>
      </c>
      <c r="J22" s="139">
        <v>0.56000000000000005</v>
      </c>
      <c r="K22" s="139">
        <f>'[5]June 23'!K22+'[5]July 2023'!J22</f>
        <v>1.7400000000000002</v>
      </c>
      <c r="L22" s="139">
        <v>0</v>
      </c>
      <c r="M22" s="139">
        <f>'[5]June 23'!M22+'[5]July 2023'!L22</f>
        <v>0</v>
      </c>
      <c r="N22" s="139">
        <f t="shared" si="1"/>
        <v>699.96</v>
      </c>
      <c r="O22" s="139">
        <v>0.60000000000000098</v>
      </c>
      <c r="P22" s="139">
        <v>0</v>
      </c>
      <c r="Q22" s="139">
        <f>'[5]June 23'!Q22+'[5]July 2023'!P22</f>
        <v>0</v>
      </c>
      <c r="R22" s="139">
        <v>0</v>
      </c>
      <c r="S22" s="139">
        <f>'[5]June 23'!S22+'[5]July 2023'!R22</f>
        <v>0</v>
      </c>
      <c r="T22" s="139">
        <f t="shared" si="2"/>
        <v>0.60000000000000098</v>
      </c>
      <c r="U22" s="139">
        <f t="shared" si="3"/>
        <v>722.99000000000012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432.16999999999996</v>
      </c>
      <c r="D23" s="139">
        <v>0</v>
      </c>
      <c r="E23" s="139">
        <f>'[5]June 23'!E23+'[5]July 2023'!D23</f>
        <v>1.53</v>
      </c>
      <c r="F23" s="139">
        <v>0</v>
      </c>
      <c r="G23" s="139">
        <f>'[5]June 23'!G23+'[5]July 2023'!F23</f>
        <v>0</v>
      </c>
      <c r="H23" s="139">
        <f t="shared" si="0"/>
        <v>432.16999999999996</v>
      </c>
      <c r="I23" s="139">
        <v>143.18499999999997</v>
      </c>
      <c r="J23" s="139">
        <v>0.44</v>
      </c>
      <c r="K23" s="139">
        <f>'[5]June 23'!K23+'[5]July 2023'!J23</f>
        <v>4.07</v>
      </c>
      <c r="L23" s="139">
        <v>0</v>
      </c>
      <c r="M23" s="139">
        <f>'[5]June 23'!M23+'[5]July 2023'!L23</f>
        <v>0</v>
      </c>
      <c r="N23" s="139">
        <f t="shared" si="1"/>
        <v>143.62499999999997</v>
      </c>
      <c r="O23" s="139">
        <v>22.5</v>
      </c>
      <c r="P23" s="139">
        <v>0</v>
      </c>
      <c r="Q23" s="139">
        <f>'[5]June 23'!Q23+'[5]July 2023'!P23</f>
        <v>0</v>
      </c>
      <c r="R23" s="139">
        <v>0</v>
      </c>
      <c r="S23" s="139">
        <f>'[5]June 23'!S23+'[5]July 2023'!R23</f>
        <v>0</v>
      </c>
      <c r="T23" s="139">
        <f t="shared" si="2"/>
        <v>22.5</v>
      </c>
      <c r="U23" s="139">
        <f t="shared" si="3"/>
        <v>598.29499999999996</v>
      </c>
    </row>
    <row r="24" spans="1:21" s="111" customFormat="1" ht="38.25" customHeight="1" x14ac:dyDescent="0.4">
      <c r="A24" s="240" t="s">
        <v>94</v>
      </c>
      <c r="B24" s="240"/>
      <c r="C24" s="141">
        <f>SUM(C20:C23)</f>
        <v>1064.0999999999999</v>
      </c>
      <c r="D24" s="141">
        <f t="shared" ref="D24:U24" si="7">SUM(D20:D23)</f>
        <v>0</v>
      </c>
      <c r="E24" s="141">
        <f t="shared" si="7"/>
        <v>1.53</v>
      </c>
      <c r="F24" s="141">
        <f t="shared" si="7"/>
        <v>0.87</v>
      </c>
      <c r="G24" s="141">
        <f t="shared" si="7"/>
        <v>0.87</v>
      </c>
      <c r="H24" s="141">
        <f t="shared" si="7"/>
        <v>1063.23</v>
      </c>
      <c r="I24" s="141">
        <f t="shared" si="7"/>
        <v>2060.8700000000003</v>
      </c>
      <c r="J24" s="141">
        <f t="shared" si="7"/>
        <v>5.7300000000000013</v>
      </c>
      <c r="K24" s="141">
        <f t="shared" si="7"/>
        <v>19.03</v>
      </c>
      <c r="L24" s="141">
        <f t="shared" si="7"/>
        <v>0</v>
      </c>
      <c r="M24" s="141">
        <f t="shared" si="7"/>
        <v>0.04</v>
      </c>
      <c r="N24" s="141">
        <f t="shared" si="7"/>
        <v>2066.6000000000004</v>
      </c>
      <c r="O24" s="141">
        <f t="shared" si="7"/>
        <v>79.569999999999993</v>
      </c>
      <c r="P24" s="141">
        <f t="shared" si="7"/>
        <v>0</v>
      </c>
      <c r="Q24" s="141">
        <f t="shared" si="7"/>
        <v>0</v>
      </c>
      <c r="R24" s="141">
        <f t="shared" si="7"/>
        <v>16.239999999999998</v>
      </c>
      <c r="S24" s="141">
        <f t="shared" si="7"/>
        <v>16.239999999999998</v>
      </c>
      <c r="T24" s="141">
        <f t="shared" si="7"/>
        <v>63.330000000000005</v>
      </c>
      <c r="U24" s="141">
        <f t="shared" si="7"/>
        <v>3193.1600000000003</v>
      </c>
    </row>
    <row r="25" spans="1:21" s="145" customFormat="1" ht="38.25" customHeight="1" x14ac:dyDescent="0.4">
      <c r="A25" s="241" t="s">
        <v>95</v>
      </c>
      <c r="B25" s="242"/>
      <c r="C25" s="141">
        <f>C24+C19+C15+C11</f>
        <v>3944.1459999999993</v>
      </c>
      <c r="D25" s="141">
        <f t="shared" ref="D25:U25" si="8">D24+D19+D15+D11</f>
        <v>5.35</v>
      </c>
      <c r="E25" s="141">
        <f t="shared" si="8"/>
        <v>8.9199999999999982</v>
      </c>
      <c r="F25" s="141">
        <f t="shared" si="8"/>
        <v>0.87</v>
      </c>
      <c r="G25" s="141">
        <f t="shared" si="8"/>
        <v>5.15</v>
      </c>
      <c r="H25" s="141">
        <f t="shared" si="8"/>
        <v>3948.6259999999993</v>
      </c>
      <c r="I25" s="141">
        <f t="shared" si="8"/>
        <v>9066.4680000000008</v>
      </c>
      <c r="J25" s="141">
        <f t="shared" si="8"/>
        <v>30.015000000000001</v>
      </c>
      <c r="K25" s="141">
        <f t="shared" si="8"/>
        <v>159.66300000000001</v>
      </c>
      <c r="L25" s="141">
        <f t="shared" si="8"/>
        <v>0</v>
      </c>
      <c r="M25" s="141">
        <f t="shared" si="8"/>
        <v>0.47</v>
      </c>
      <c r="N25" s="141">
        <f t="shared" si="8"/>
        <v>9096.4830000000002</v>
      </c>
      <c r="O25" s="141">
        <f t="shared" si="8"/>
        <v>516.048</v>
      </c>
      <c r="P25" s="141">
        <f t="shared" si="8"/>
        <v>0</v>
      </c>
      <c r="Q25" s="141">
        <f t="shared" si="8"/>
        <v>1.3</v>
      </c>
      <c r="R25" s="141">
        <f t="shared" si="8"/>
        <v>16.239999999999998</v>
      </c>
      <c r="S25" s="141">
        <f t="shared" si="8"/>
        <v>47.5</v>
      </c>
      <c r="T25" s="141">
        <f t="shared" si="8"/>
        <v>499.80800000000005</v>
      </c>
      <c r="U25" s="141">
        <f t="shared" si="8"/>
        <v>13544.916999999999</v>
      </c>
    </row>
    <row r="26" spans="1:21" ht="38.25" customHeight="1" x14ac:dyDescent="0.35">
      <c r="A26" s="171">
        <v>15</v>
      </c>
      <c r="B26" s="172" t="s">
        <v>96</v>
      </c>
      <c r="C26" s="139">
        <v>1643.1200000000001</v>
      </c>
      <c r="D26" s="139">
        <v>2.83</v>
      </c>
      <c r="E26" s="139">
        <f>'[5]June 23'!E26+'[5]July 2023'!D26</f>
        <v>17.66</v>
      </c>
      <c r="F26" s="139">
        <v>0</v>
      </c>
      <c r="G26" s="139">
        <f>'[5]June 23'!G26+'[5]July 2023'!F26</f>
        <v>0</v>
      </c>
      <c r="H26" s="139">
        <f t="shared" si="0"/>
        <v>1645.95</v>
      </c>
      <c r="I26" s="139">
        <v>122.23</v>
      </c>
      <c r="J26" s="139">
        <v>0.26</v>
      </c>
      <c r="K26" s="139">
        <f>'[5]June 23'!K26+'[5]July 2023'!J26</f>
        <v>0.94000000000000006</v>
      </c>
      <c r="L26" s="139">
        <v>0</v>
      </c>
      <c r="M26" s="139">
        <f>'[5]June 23'!M26+'[5]July 2023'!L26</f>
        <v>0</v>
      </c>
      <c r="N26" s="139">
        <f t="shared" si="1"/>
        <v>122.49000000000001</v>
      </c>
      <c r="O26" s="139">
        <v>16.489999999999998</v>
      </c>
      <c r="P26" s="139">
        <v>0</v>
      </c>
      <c r="Q26" s="139">
        <f>'[5]June 23'!Q26+'[5]July 2023'!P26</f>
        <v>0.12</v>
      </c>
      <c r="R26" s="139">
        <v>0</v>
      </c>
      <c r="S26" s="139">
        <f>'[5]June 23'!S26+'[5]July 2023'!R26</f>
        <v>0</v>
      </c>
      <c r="T26" s="139">
        <f t="shared" si="2"/>
        <v>16.489999999999998</v>
      </c>
      <c r="U26" s="139">
        <f t="shared" si="3"/>
        <v>1784.93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5710.0450000000046</v>
      </c>
      <c r="D27" s="139">
        <v>7.98</v>
      </c>
      <c r="E27" s="139">
        <f>'[5]June 23'!E27+'[5]July 2023'!D27</f>
        <v>32.67</v>
      </c>
      <c r="F27" s="139">
        <v>0</v>
      </c>
      <c r="G27" s="139">
        <f>'[5]June 23'!G27+'[5]July 2023'!F27</f>
        <v>0.02</v>
      </c>
      <c r="H27" s="139">
        <f t="shared" si="0"/>
        <v>5718.0250000000042</v>
      </c>
      <c r="I27" s="139">
        <v>638.82799999999986</v>
      </c>
      <c r="J27" s="139">
        <v>2.33</v>
      </c>
      <c r="K27" s="139">
        <f>'[5]June 23'!K27+'[5]July 2023'!J27</f>
        <v>7</v>
      </c>
      <c r="L27" s="139">
        <v>0</v>
      </c>
      <c r="M27" s="139">
        <f>'[5]June 23'!M27+'[5]July 2023'!L27</f>
        <v>0.02</v>
      </c>
      <c r="N27" s="139">
        <f t="shared" si="1"/>
        <v>641.1579999999999</v>
      </c>
      <c r="O27" s="139">
        <v>33.85</v>
      </c>
      <c r="P27" s="139">
        <v>0</v>
      </c>
      <c r="Q27" s="139">
        <f>'[5]June 23'!Q27+'[5]July 2023'!P27</f>
        <v>0.05</v>
      </c>
      <c r="R27" s="139">
        <v>0</v>
      </c>
      <c r="S27" s="139">
        <f>'[5]June 23'!S27+'[5]July 2023'!R27</f>
        <v>0</v>
      </c>
      <c r="T27" s="139">
        <f t="shared" si="2"/>
        <v>33.85</v>
      </c>
      <c r="U27" s="139">
        <f t="shared" si="3"/>
        <v>6393.0330000000049</v>
      </c>
    </row>
    <row r="28" spans="1:21" s="111" customFormat="1" ht="38.25" customHeight="1" x14ac:dyDescent="0.4">
      <c r="A28" s="240" t="s">
        <v>98</v>
      </c>
      <c r="B28" s="240"/>
      <c r="C28" s="141">
        <f>SUM(C26:C27)</f>
        <v>7353.1650000000045</v>
      </c>
      <c r="D28" s="141">
        <f t="shared" ref="D28:U28" si="9">SUM(D26:D27)</f>
        <v>10.81</v>
      </c>
      <c r="E28" s="141">
        <f t="shared" si="9"/>
        <v>50.33</v>
      </c>
      <c r="F28" s="141">
        <f t="shared" si="9"/>
        <v>0</v>
      </c>
      <c r="G28" s="141">
        <f t="shared" si="9"/>
        <v>0.02</v>
      </c>
      <c r="H28" s="141">
        <f t="shared" si="9"/>
        <v>7363.975000000004</v>
      </c>
      <c r="I28" s="141">
        <f t="shared" si="9"/>
        <v>761.05799999999988</v>
      </c>
      <c r="J28" s="141">
        <f t="shared" si="9"/>
        <v>2.59</v>
      </c>
      <c r="K28" s="141">
        <f t="shared" si="9"/>
        <v>7.94</v>
      </c>
      <c r="L28" s="141">
        <f t="shared" si="9"/>
        <v>0</v>
      </c>
      <c r="M28" s="141">
        <f t="shared" si="9"/>
        <v>0.02</v>
      </c>
      <c r="N28" s="141">
        <f t="shared" si="9"/>
        <v>763.64799999999991</v>
      </c>
      <c r="O28" s="141">
        <f t="shared" si="9"/>
        <v>50.34</v>
      </c>
      <c r="P28" s="141">
        <f t="shared" si="9"/>
        <v>0</v>
      </c>
      <c r="Q28" s="141">
        <f t="shared" si="9"/>
        <v>0.16999999999999998</v>
      </c>
      <c r="R28" s="141">
        <f t="shared" si="9"/>
        <v>0</v>
      </c>
      <c r="S28" s="141">
        <f t="shared" si="9"/>
        <v>0</v>
      </c>
      <c r="T28" s="141">
        <f t="shared" si="9"/>
        <v>50.34</v>
      </c>
      <c r="U28" s="141">
        <f t="shared" si="9"/>
        <v>8177.9630000000052</v>
      </c>
    </row>
    <row r="29" spans="1:21" ht="38.25" customHeight="1" x14ac:dyDescent="0.35">
      <c r="A29" s="171">
        <v>17</v>
      </c>
      <c r="B29" s="172" t="s">
        <v>99</v>
      </c>
      <c r="C29" s="139">
        <v>5010.8780000000006</v>
      </c>
      <c r="D29" s="139">
        <v>1.22</v>
      </c>
      <c r="E29" s="139">
        <f>'[5]June 23'!E29+'[5]July 2023'!D29</f>
        <v>131.06</v>
      </c>
      <c r="F29" s="139">
        <v>0</v>
      </c>
      <c r="G29" s="139">
        <f>'[5]June 23'!G29+'[5]July 2023'!F29</f>
        <v>0</v>
      </c>
      <c r="H29" s="139">
        <f t="shared" si="0"/>
        <v>5012.0980000000009</v>
      </c>
      <c r="I29" s="139">
        <v>122.25000000000001</v>
      </c>
      <c r="J29" s="139">
        <v>0.54</v>
      </c>
      <c r="K29" s="139">
        <f>'[5]June 23'!K29+'[5]July 2023'!J29</f>
        <v>1.26</v>
      </c>
      <c r="L29" s="139">
        <v>0</v>
      </c>
      <c r="M29" s="139">
        <f>'[5]June 23'!M29+'[5]July 2023'!L29</f>
        <v>0</v>
      </c>
      <c r="N29" s="139">
        <f t="shared" si="1"/>
        <v>122.79000000000002</v>
      </c>
      <c r="O29" s="139">
        <v>34.52000000000001</v>
      </c>
      <c r="P29" s="139">
        <v>0</v>
      </c>
      <c r="Q29" s="139">
        <f>'[5]June 23'!Q29+'[5]July 2023'!P29</f>
        <v>0</v>
      </c>
      <c r="R29" s="139">
        <v>0</v>
      </c>
      <c r="S29" s="139">
        <f>'[5]June 23'!S29+'[5]July 2023'!R29</f>
        <v>0</v>
      </c>
      <c r="T29" s="139">
        <f t="shared" si="2"/>
        <v>34.52000000000001</v>
      </c>
      <c r="U29" s="139">
        <f t="shared" si="3"/>
        <v>5169.4080000000013</v>
      </c>
    </row>
    <row r="30" spans="1:21" ht="38.25" customHeight="1" x14ac:dyDescent="0.35">
      <c r="A30" s="171">
        <v>18</v>
      </c>
      <c r="B30" s="172" t="s">
        <v>100</v>
      </c>
      <c r="C30" s="139">
        <v>3717.3599999999992</v>
      </c>
      <c r="D30" s="139">
        <v>7.87</v>
      </c>
      <c r="E30" s="139">
        <f>'[5]June 23'!E30+'[5]July 2023'!D30</f>
        <v>23.080000000000002</v>
      </c>
      <c r="F30" s="139">
        <v>0</v>
      </c>
      <c r="G30" s="139">
        <f>'[5]June 23'!G30+'[5]July 2023'!F30</f>
        <v>0</v>
      </c>
      <c r="H30" s="139">
        <f t="shared" si="0"/>
        <v>3725.2299999999991</v>
      </c>
      <c r="I30" s="139">
        <v>198.58699999999999</v>
      </c>
      <c r="J30" s="139">
        <v>33.78</v>
      </c>
      <c r="K30" s="139">
        <f>'[5]June 23'!K30+'[5]July 2023'!J30</f>
        <v>33.78</v>
      </c>
      <c r="L30" s="139">
        <v>0</v>
      </c>
      <c r="M30" s="139">
        <f>'[5]June 23'!M30+'[5]July 2023'!L30</f>
        <v>0</v>
      </c>
      <c r="N30" s="139">
        <f t="shared" si="1"/>
        <v>232.36699999999999</v>
      </c>
      <c r="O30" s="139">
        <v>23.25</v>
      </c>
      <c r="P30" s="139">
        <v>0</v>
      </c>
      <c r="Q30" s="139">
        <f>'[5]June 23'!Q30+'[5]July 2023'!P30</f>
        <v>0</v>
      </c>
      <c r="R30" s="139">
        <v>0</v>
      </c>
      <c r="S30" s="139">
        <f>'[5]June 23'!S30+'[5]July 2023'!R30</f>
        <v>0</v>
      </c>
      <c r="T30" s="139">
        <f t="shared" si="2"/>
        <v>23.25</v>
      </c>
      <c r="U30" s="139">
        <f t="shared" si="3"/>
        <v>3980.8469999999993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4708.9000000000015</v>
      </c>
      <c r="D31" s="139">
        <v>1.079</v>
      </c>
      <c r="E31" s="139">
        <f>'[5]June 23'!E31+'[5]July 2023'!D31</f>
        <v>7.4869999999999992</v>
      </c>
      <c r="F31" s="139">
        <v>0</v>
      </c>
      <c r="G31" s="139">
        <f>'[5]June 23'!G31+'[5]July 2023'!F31</f>
        <v>0</v>
      </c>
      <c r="H31" s="139">
        <f t="shared" si="0"/>
        <v>4709.9790000000012</v>
      </c>
      <c r="I31" s="139">
        <v>107.89500000000002</v>
      </c>
      <c r="J31" s="139">
        <v>0</v>
      </c>
      <c r="K31" s="139">
        <f>'[5]June 23'!K31+'[5]July 2023'!J31</f>
        <v>0.20499999999999999</v>
      </c>
      <c r="L31" s="139">
        <v>0</v>
      </c>
      <c r="M31" s="139">
        <f>'[5]June 23'!M31+'[5]July 2023'!L31</f>
        <v>0</v>
      </c>
      <c r="N31" s="139">
        <f t="shared" si="1"/>
        <v>107.89500000000002</v>
      </c>
      <c r="O31" s="139">
        <v>14.850000000000001</v>
      </c>
      <c r="P31" s="139">
        <v>0</v>
      </c>
      <c r="Q31" s="139">
        <f>'[5]June 23'!Q31+'[5]July 2023'!P31</f>
        <v>0</v>
      </c>
      <c r="R31" s="139">
        <v>0</v>
      </c>
      <c r="S31" s="139">
        <f>'[5]June 23'!S31+'[5]July 2023'!R31</f>
        <v>0</v>
      </c>
      <c r="T31" s="139">
        <f t="shared" si="2"/>
        <v>14.850000000000001</v>
      </c>
      <c r="U31" s="139">
        <f t="shared" si="3"/>
        <v>4832.724000000002</v>
      </c>
    </row>
    <row r="32" spans="1:21" ht="38.25" customHeight="1" x14ac:dyDescent="0.35">
      <c r="A32" s="171">
        <v>20</v>
      </c>
      <c r="B32" s="172" t="s">
        <v>102</v>
      </c>
      <c r="C32" s="139">
        <v>2371.1757999999991</v>
      </c>
      <c r="D32" s="139">
        <v>3.72</v>
      </c>
      <c r="E32" s="139">
        <f>'[5]June 23'!E32+'[5]July 2023'!D32</f>
        <v>10.6</v>
      </c>
      <c r="F32" s="139">
        <v>0</v>
      </c>
      <c r="G32" s="139">
        <f>'[5]June 23'!G32+'[5]July 2023'!F32</f>
        <v>9.73</v>
      </c>
      <c r="H32" s="139">
        <f t="shared" si="0"/>
        <v>2374.8957999999989</v>
      </c>
      <c r="I32" s="139">
        <v>98.16400000000003</v>
      </c>
      <c r="J32" s="139">
        <v>1.63</v>
      </c>
      <c r="K32" s="139">
        <f>'[5]June 23'!K32+'[5]July 2023'!J32</f>
        <v>6.6180000000000003</v>
      </c>
      <c r="L32" s="139">
        <v>0</v>
      </c>
      <c r="M32" s="139">
        <f>'[5]June 23'!M32+'[5]July 2023'!L32</f>
        <v>0</v>
      </c>
      <c r="N32" s="139">
        <f t="shared" si="1"/>
        <v>99.794000000000025</v>
      </c>
      <c r="O32" s="139">
        <v>67.551999999999992</v>
      </c>
      <c r="P32" s="139">
        <v>0</v>
      </c>
      <c r="Q32" s="139">
        <f>'[5]June 23'!Q32+'[5]July 2023'!P32</f>
        <v>0</v>
      </c>
      <c r="R32" s="139">
        <v>0</v>
      </c>
      <c r="S32" s="139">
        <f>'[5]June 23'!S32+'[5]July 2023'!R32</f>
        <v>0</v>
      </c>
      <c r="T32" s="139">
        <f t="shared" si="2"/>
        <v>67.551999999999992</v>
      </c>
      <c r="U32" s="139">
        <f t="shared" si="3"/>
        <v>2542.2417999999989</v>
      </c>
    </row>
    <row r="33" spans="1:21" s="111" customFormat="1" ht="38.25" customHeight="1" x14ac:dyDescent="0.4">
      <c r="A33" s="240" t="s">
        <v>99</v>
      </c>
      <c r="B33" s="240"/>
      <c r="C33" s="141">
        <f>SUM(C29:C32)</f>
        <v>15808.3138</v>
      </c>
      <c r="D33" s="141">
        <f t="shared" ref="D33:U33" si="10">SUM(D29:D32)</f>
        <v>13.889000000000001</v>
      </c>
      <c r="E33" s="141">
        <f t="shared" si="10"/>
        <v>172.227</v>
      </c>
      <c r="F33" s="141">
        <f t="shared" si="10"/>
        <v>0</v>
      </c>
      <c r="G33" s="141">
        <f t="shared" si="10"/>
        <v>9.73</v>
      </c>
      <c r="H33" s="141">
        <f t="shared" si="10"/>
        <v>15822.202799999999</v>
      </c>
      <c r="I33" s="141">
        <f t="shared" si="10"/>
        <v>526.89600000000007</v>
      </c>
      <c r="J33" s="141">
        <f t="shared" si="10"/>
        <v>35.950000000000003</v>
      </c>
      <c r="K33" s="141">
        <f t="shared" si="10"/>
        <v>41.863</v>
      </c>
      <c r="L33" s="141">
        <f t="shared" si="10"/>
        <v>0</v>
      </c>
      <c r="M33" s="141">
        <f t="shared" si="10"/>
        <v>0</v>
      </c>
      <c r="N33" s="141">
        <f t="shared" si="10"/>
        <v>562.84600000000012</v>
      </c>
      <c r="O33" s="141">
        <f t="shared" si="10"/>
        <v>140.172</v>
      </c>
      <c r="P33" s="141">
        <f t="shared" si="10"/>
        <v>0</v>
      </c>
      <c r="Q33" s="141">
        <f t="shared" si="10"/>
        <v>0</v>
      </c>
      <c r="R33" s="141">
        <f t="shared" si="10"/>
        <v>0</v>
      </c>
      <c r="S33" s="141">
        <f t="shared" si="10"/>
        <v>0</v>
      </c>
      <c r="T33" s="141">
        <f t="shared" si="10"/>
        <v>140.172</v>
      </c>
      <c r="U33" s="141">
        <f t="shared" si="10"/>
        <v>16525.220800000003</v>
      </c>
    </row>
    <row r="34" spans="1:21" ht="38.25" customHeight="1" x14ac:dyDescent="0.35">
      <c r="A34" s="171">
        <v>21</v>
      </c>
      <c r="B34" s="172" t="s">
        <v>103</v>
      </c>
      <c r="C34" s="139">
        <v>4604.78</v>
      </c>
      <c r="D34" s="139">
        <v>2.82</v>
      </c>
      <c r="E34" s="139">
        <f>'[5]June 23'!E34+'[5]July 2023'!D34</f>
        <v>20.85</v>
      </c>
      <c r="F34" s="139">
        <v>2.72</v>
      </c>
      <c r="G34" s="139">
        <f>'[5]June 23'!G34+'[5]July 2023'!F34</f>
        <v>2.72</v>
      </c>
      <c r="H34" s="139">
        <f t="shared" si="0"/>
        <v>4604.8799999999992</v>
      </c>
      <c r="I34" s="139">
        <v>108.16999999999999</v>
      </c>
      <c r="J34" s="139">
        <v>8</v>
      </c>
      <c r="K34" s="139">
        <f>'[5]June 23'!K34+'[5]July 2023'!J34</f>
        <v>8.09</v>
      </c>
      <c r="L34" s="139">
        <v>0</v>
      </c>
      <c r="M34" s="139">
        <f>'[5]June 23'!M34+'[5]July 2023'!L34</f>
        <v>0</v>
      </c>
      <c r="N34" s="139">
        <f t="shared" si="1"/>
        <v>116.16999999999999</v>
      </c>
      <c r="O34" s="139">
        <v>72.7</v>
      </c>
      <c r="P34" s="139">
        <v>0</v>
      </c>
      <c r="Q34" s="139">
        <f>'[5]June 23'!Q34+'[5]July 2023'!P34</f>
        <v>0</v>
      </c>
      <c r="R34" s="139">
        <v>0</v>
      </c>
      <c r="S34" s="139">
        <f>'[5]June 23'!S34+'[5]July 2023'!R34</f>
        <v>0</v>
      </c>
      <c r="T34" s="139">
        <f t="shared" si="2"/>
        <v>72.7</v>
      </c>
      <c r="U34" s="139">
        <f t="shared" si="3"/>
        <v>4793.7499999999991</v>
      </c>
    </row>
    <row r="35" spans="1:21" ht="38.25" customHeight="1" x14ac:dyDescent="0.35">
      <c r="A35" s="171">
        <v>22</v>
      </c>
      <c r="B35" s="172" t="s">
        <v>104</v>
      </c>
      <c r="C35" s="139">
        <v>6739.3399999999974</v>
      </c>
      <c r="D35" s="139">
        <v>28.19</v>
      </c>
      <c r="E35" s="139">
        <f>'[5]June 23'!E35+'[5]July 2023'!D35</f>
        <v>83.91</v>
      </c>
      <c r="F35" s="139">
        <v>0</v>
      </c>
      <c r="G35" s="139">
        <f>'[5]June 23'!G35+'[5]July 2023'!F35</f>
        <v>0</v>
      </c>
      <c r="H35" s="139">
        <f t="shared" si="0"/>
        <v>6767.529999999997</v>
      </c>
      <c r="I35" s="139">
        <v>34.17</v>
      </c>
      <c r="J35" s="139">
        <v>0</v>
      </c>
      <c r="K35" s="139">
        <f>'[5]June 23'!K35+'[5]July 2023'!J35</f>
        <v>0.04</v>
      </c>
      <c r="L35" s="139">
        <v>0</v>
      </c>
      <c r="M35" s="139">
        <f>'[5]June 23'!M35+'[5]July 2023'!L35</f>
        <v>0</v>
      </c>
      <c r="N35" s="139">
        <f t="shared" si="1"/>
        <v>34.17</v>
      </c>
      <c r="O35" s="139">
        <v>90.800000000000011</v>
      </c>
      <c r="P35" s="139">
        <v>0</v>
      </c>
      <c r="Q35" s="139">
        <f>'[5]June 23'!Q35+'[5]July 2023'!P35</f>
        <v>0</v>
      </c>
      <c r="R35" s="139">
        <v>0</v>
      </c>
      <c r="S35" s="139">
        <f>'[5]June 23'!S35+'[5]July 2023'!R35</f>
        <v>0</v>
      </c>
      <c r="T35" s="139">
        <f t="shared" si="2"/>
        <v>90.800000000000011</v>
      </c>
      <c r="U35" s="139">
        <f t="shared" si="3"/>
        <v>6892.4999999999973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3707.63</v>
      </c>
      <c r="D36" s="139">
        <v>13.18</v>
      </c>
      <c r="E36" s="139">
        <f>'[5]June 23'!E36+'[5]July 2023'!D36</f>
        <v>23.15</v>
      </c>
      <c r="F36" s="139">
        <v>0</v>
      </c>
      <c r="G36" s="139">
        <f>'[5]June 23'!G36+'[5]July 2023'!F36</f>
        <v>0</v>
      </c>
      <c r="H36" s="139">
        <f t="shared" si="0"/>
        <v>3720.81</v>
      </c>
      <c r="I36" s="139">
        <v>30.250000000000039</v>
      </c>
      <c r="J36" s="139">
        <v>0</v>
      </c>
      <c r="K36" s="139">
        <f>'[5]June 23'!K36+'[5]July 2023'!J36</f>
        <v>0</v>
      </c>
      <c r="L36" s="139">
        <v>0</v>
      </c>
      <c r="M36" s="139">
        <f>'[5]June 23'!M36+'[5]July 2023'!L36</f>
        <v>0</v>
      </c>
      <c r="N36" s="139">
        <f t="shared" si="1"/>
        <v>30.250000000000039</v>
      </c>
      <c r="O36" s="139">
        <v>36.379999999999995</v>
      </c>
      <c r="P36" s="139">
        <v>0</v>
      </c>
      <c r="Q36" s="139">
        <f>'[5]June 23'!Q36+'[5]July 2023'!P36</f>
        <v>0</v>
      </c>
      <c r="R36" s="139">
        <v>0</v>
      </c>
      <c r="S36" s="139">
        <f>'[5]June 23'!S36+'[5]July 2023'!R36</f>
        <v>0</v>
      </c>
      <c r="T36" s="139">
        <f t="shared" si="2"/>
        <v>36.379999999999995</v>
      </c>
      <c r="U36" s="139">
        <f t="shared" si="3"/>
        <v>3787.44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5123.8899999999985</v>
      </c>
      <c r="D37" s="139">
        <f>5.77+0.87</f>
        <v>6.64</v>
      </c>
      <c r="E37" s="139">
        <f>'[5]June 23'!E37+'[5]July 2023'!D37</f>
        <v>36.019999999999996</v>
      </c>
      <c r="F37" s="139">
        <v>0</v>
      </c>
      <c r="G37" s="139">
        <f>'[5]June 23'!G37+'[5]July 2023'!F37</f>
        <v>0</v>
      </c>
      <c r="H37" s="139">
        <f t="shared" si="0"/>
        <v>5130.5299999999988</v>
      </c>
      <c r="I37" s="139">
        <v>26.700000000000003</v>
      </c>
      <c r="J37" s="139">
        <v>0</v>
      </c>
      <c r="K37" s="139">
        <f>'[5]June 23'!K37+'[5]July 2023'!J37</f>
        <v>0</v>
      </c>
      <c r="L37" s="139">
        <v>0</v>
      </c>
      <c r="M37" s="139">
        <f>'[5]June 23'!M37+'[5]July 2023'!L37</f>
        <v>0</v>
      </c>
      <c r="N37" s="139">
        <f t="shared" si="1"/>
        <v>26.700000000000003</v>
      </c>
      <c r="O37" s="139">
        <v>3.0599999999999996</v>
      </c>
      <c r="P37" s="139">
        <v>0</v>
      </c>
      <c r="Q37" s="139">
        <f>'[5]June 23'!Q37+'[5]July 2023'!P37</f>
        <v>0</v>
      </c>
      <c r="R37" s="139">
        <v>0</v>
      </c>
      <c r="S37" s="139">
        <f>'[5]June 23'!S37+'[5]July 2023'!R37</f>
        <v>0</v>
      </c>
      <c r="T37" s="139">
        <f t="shared" si="2"/>
        <v>3.0599999999999996</v>
      </c>
      <c r="U37" s="139">
        <f t="shared" si="3"/>
        <v>5160.2899999999991</v>
      </c>
    </row>
    <row r="38" spans="1:21" s="111" customFormat="1" ht="38.25" customHeight="1" x14ac:dyDescent="0.4">
      <c r="A38" s="240" t="s">
        <v>107</v>
      </c>
      <c r="B38" s="240"/>
      <c r="C38" s="141">
        <f>SUM(C34:C37)</f>
        <v>20175.639999999996</v>
      </c>
      <c r="D38" s="141">
        <f t="shared" ref="D38:U38" si="11">SUM(D34:D37)</f>
        <v>50.83</v>
      </c>
      <c r="E38" s="141">
        <f t="shared" si="11"/>
        <v>163.93</v>
      </c>
      <c r="F38" s="141">
        <f t="shared" si="11"/>
        <v>2.72</v>
      </c>
      <c r="G38" s="141">
        <f t="shared" si="11"/>
        <v>2.72</v>
      </c>
      <c r="H38" s="141">
        <f t="shared" si="11"/>
        <v>20223.749999999993</v>
      </c>
      <c r="I38" s="141">
        <f t="shared" si="11"/>
        <v>199.29000000000002</v>
      </c>
      <c r="J38" s="141">
        <f t="shared" si="11"/>
        <v>8</v>
      </c>
      <c r="K38" s="141">
        <f t="shared" si="11"/>
        <v>8.129999999999999</v>
      </c>
      <c r="L38" s="141">
        <f t="shared" si="11"/>
        <v>0</v>
      </c>
      <c r="M38" s="141">
        <f t="shared" si="11"/>
        <v>0</v>
      </c>
      <c r="N38" s="141">
        <f t="shared" si="11"/>
        <v>207.29000000000002</v>
      </c>
      <c r="O38" s="141">
        <f t="shared" si="11"/>
        <v>202.94</v>
      </c>
      <c r="P38" s="141">
        <f t="shared" si="11"/>
        <v>0</v>
      </c>
      <c r="Q38" s="141">
        <f t="shared" si="11"/>
        <v>0</v>
      </c>
      <c r="R38" s="141">
        <f t="shared" si="11"/>
        <v>0</v>
      </c>
      <c r="S38" s="141">
        <f t="shared" si="11"/>
        <v>0</v>
      </c>
      <c r="T38" s="141">
        <f t="shared" si="11"/>
        <v>202.94</v>
      </c>
      <c r="U38" s="141">
        <f t="shared" si="11"/>
        <v>20633.979999999996</v>
      </c>
    </row>
    <row r="39" spans="1:21" s="145" customFormat="1" ht="38.25" customHeight="1" x14ac:dyDescent="0.4">
      <c r="A39" s="243" t="s">
        <v>108</v>
      </c>
      <c r="B39" s="243"/>
      <c r="C39" s="141">
        <f>C38+C33+C28</f>
        <v>43337.118799999997</v>
      </c>
      <c r="D39" s="141">
        <f t="shared" ref="D39:U39" si="12">D38+D33+D28</f>
        <v>75.528999999999996</v>
      </c>
      <c r="E39" s="141">
        <f t="shared" si="12"/>
        <v>386.48700000000002</v>
      </c>
      <c r="F39" s="141">
        <f t="shared" si="12"/>
        <v>2.72</v>
      </c>
      <c r="G39" s="141">
        <f t="shared" si="12"/>
        <v>12.47</v>
      </c>
      <c r="H39" s="141">
        <f t="shared" si="12"/>
        <v>43409.927799999998</v>
      </c>
      <c r="I39" s="141">
        <f t="shared" si="12"/>
        <v>1487.2440000000001</v>
      </c>
      <c r="J39" s="141">
        <f t="shared" si="12"/>
        <v>46.540000000000006</v>
      </c>
      <c r="K39" s="141">
        <f t="shared" si="12"/>
        <v>57.932999999999993</v>
      </c>
      <c r="L39" s="141">
        <f t="shared" si="12"/>
        <v>0</v>
      </c>
      <c r="M39" s="141">
        <f t="shared" si="12"/>
        <v>0.02</v>
      </c>
      <c r="N39" s="141">
        <f t="shared" si="12"/>
        <v>1533.7840000000001</v>
      </c>
      <c r="O39" s="141">
        <f t="shared" si="12"/>
        <v>393.452</v>
      </c>
      <c r="P39" s="141">
        <f t="shared" si="12"/>
        <v>0</v>
      </c>
      <c r="Q39" s="141">
        <f t="shared" si="12"/>
        <v>0.16999999999999998</v>
      </c>
      <c r="R39" s="141">
        <f t="shared" si="12"/>
        <v>0</v>
      </c>
      <c r="S39" s="141">
        <f t="shared" si="12"/>
        <v>0</v>
      </c>
      <c r="T39" s="141">
        <f t="shared" si="12"/>
        <v>393.452</v>
      </c>
      <c r="U39" s="141">
        <f t="shared" si="12"/>
        <v>45337.163800000002</v>
      </c>
    </row>
    <row r="40" spans="1:21" ht="38.25" customHeight="1" x14ac:dyDescent="0.35">
      <c r="A40" s="171">
        <v>25</v>
      </c>
      <c r="B40" s="172" t="s">
        <v>109</v>
      </c>
      <c r="C40" s="139">
        <v>11896.873999999998</v>
      </c>
      <c r="D40" s="139">
        <v>7.84</v>
      </c>
      <c r="E40" s="139">
        <f>'[5]June 23'!E40+'[5]July 2023'!D40</f>
        <v>47.09</v>
      </c>
      <c r="F40" s="139">
        <v>0</v>
      </c>
      <c r="G40" s="139">
        <f>'[5]June 23'!G40+'[5]July 2023'!F40</f>
        <v>0</v>
      </c>
      <c r="H40" s="139">
        <f t="shared" si="0"/>
        <v>11904.713999999998</v>
      </c>
      <c r="I40" s="139">
        <v>198.73</v>
      </c>
      <c r="J40" s="139">
        <v>0</v>
      </c>
      <c r="K40" s="139">
        <f>'[5]June 23'!K40+'[5]July 2023'!J40</f>
        <v>0</v>
      </c>
      <c r="L40" s="139">
        <v>0</v>
      </c>
      <c r="M40" s="139">
        <f>'[5]June 23'!M40+'[5]July 2023'!L40</f>
        <v>0</v>
      </c>
      <c r="N40" s="139">
        <f t="shared" si="1"/>
        <v>198.73</v>
      </c>
      <c r="O40" s="139">
        <v>106.93</v>
      </c>
      <c r="P40" s="139">
        <v>0</v>
      </c>
      <c r="Q40" s="139">
        <f>'[5]June 23'!Q40+'[5]July 2023'!P40</f>
        <v>0</v>
      </c>
      <c r="R40" s="139">
        <v>0</v>
      </c>
      <c r="S40" s="139">
        <f>'[5]June 23'!S40+'[5]July 2023'!R40</f>
        <v>0</v>
      </c>
      <c r="T40" s="139">
        <f t="shared" si="2"/>
        <v>106.93</v>
      </c>
      <c r="U40" s="139">
        <f t="shared" si="3"/>
        <v>12210.373999999998</v>
      </c>
    </row>
    <row r="41" spans="1:21" ht="38.25" customHeight="1" x14ac:dyDescent="0.35">
      <c r="A41" s="171">
        <v>26</v>
      </c>
      <c r="B41" s="172" t="s">
        <v>110</v>
      </c>
      <c r="C41" s="139">
        <v>8552.9589999999953</v>
      </c>
      <c r="D41" s="139">
        <v>6.56</v>
      </c>
      <c r="E41" s="139">
        <f>'[5]June 23'!E41+'[5]July 2023'!D41</f>
        <v>112.12</v>
      </c>
      <c r="F41" s="139">
        <v>0</v>
      </c>
      <c r="G41" s="139">
        <f>'[5]June 23'!G41+'[5]July 2023'!F41</f>
        <v>0</v>
      </c>
      <c r="H41" s="139">
        <f t="shared" si="0"/>
        <v>8559.5189999999948</v>
      </c>
      <c r="I41" s="139">
        <v>8.67</v>
      </c>
      <c r="J41" s="139">
        <v>0</v>
      </c>
      <c r="K41" s="139">
        <f>'[5]June 23'!K41+'[5]July 2023'!J41</f>
        <v>0</v>
      </c>
      <c r="L41" s="139">
        <v>0</v>
      </c>
      <c r="M41" s="139">
        <f>'[5]June 23'!M41+'[5]July 2023'!L41</f>
        <v>0</v>
      </c>
      <c r="N41" s="139">
        <f t="shared" si="1"/>
        <v>8.67</v>
      </c>
      <c r="O41" s="139">
        <v>141.29000000000002</v>
      </c>
      <c r="P41" s="139">
        <v>0</v>
      </c>
      <c r="Q41" s="139">
        <f>'[5]June 23'!Q41+'[5]July 2023'!P41</f>
        <v>0</v>
      </c>
      <c r="R41" s="139">
        <v>0</v>
      </c>
      <c r="S41" s="139">
        <f>'[5]June 23'!S41+'[5]July 2023'!R41</f>
        <v>0</v>
      </c>
      <c r="T41" s="139">
        <f t="shared" si="2"/>
        <v>141.29000000000002</v>
      </c>
      <c r="U41" s="139">
        <f t="shared" si="3"/>
        <v>8709.4789999999957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14017.942999999996</v>
      </c>
      <c r="D42" s="139">
        <v>9.8699999999999992</v>
      </c>
      <c r="E42" s="139">
        <f>'[5]June 23'!E42+'[5]July 2023'!D42</f>
        <v>74.14</v>
      </c>
      <c r="F42" s="139">
        <v>0</v>
      </c>
      <c r="G42" s="139">
        <f>'[5]June 23'!G42+'[5]July 2023'!F42</f>
        <v>0</v>
      </c>
      <c r="H42" s="139">
        <f t="shared" si="0"/>
        <v>14027.812999999996</v>
      </c>
      <c r="I42" s="139">
        <v>15.62</v>
      </c>
      <c r="J42" s="139">
        <v>0</v>
      </c>
      <c r="K42" s="139">
        <f>'[5]June 23'!K42+'[5]July 2023'!J42</f>
        <v>0</v>
      </c>
      <c r="L42" s="139">
        <v>0</v>
      </c>
      <c r="M42" s="139">
        <f>'[5]June 23'!M42+'[5]July 2023'!L42</f>
        <v>0</v>
      </c>
      <c r="N42" s="139">
        <f t="shared" si="1"/>
        <v>15.62</v>
      </c>
      <c r="O42" s="139">
        <v>205.35</v>
      </c>
      <c r="P42" s="139">
        <v>0</v>
      </c>
      <c r="Q42" s="139">
        <f>'[5]June 23'!Q42+'[5]July 2023'!P42</f>
        <v>0</v>
      </c>
      <c r="R42" s="139">
        <v>0</v>
      </c>
      <c r="S42" s="139">
        <f>'[5]June 23'!S42+'[5]July 2023'!R42</f>
        <v>0</v>
      </c>
      <c r="T42" s="139">
        <f t="shared" si="2"/>
        <v>205.35</v>
      </c>
      <c r="U42" s="139">
        <f t="shared" si="3"/>
        <v>14248.782999999998</v>
      </c>
    </row>
    <row r="43" spans="1:21" ht="38.25" customHeight="1" x14ac:dyDescent="0.35">
      <c r="A43" s="171">
        <v>28</v>
      </c>
      <c r="B43" s="172" t="s">
        <v>112</v>
      </c>
      <c r="C43" s="139">
        <v>4316.0000000000009</v>
      </c>
      <c r="D43" s="139">
        <f>1.03+2.72</f>
        <v>3.75</v>
      </c>
      <c r="E43" s="139">
        <f>'[5]June 23'!E43+'[5]July 2023'!D43</f>
        <v>117.78999999999999</v>
      </c>
      <c r="F43" s="139">
        <v>0</v>
      </c>
      <c r="G43" s="139">
        <f>'[5]June 23'!G43+'[5]July 2023'!F43</f>
        <v>0</v>
      </c>
      <c r="H43" s="139">
        <f t="shared" si="0"/>
        <v>4319.7500000000009</v>
      </c>
      <c r="I43" s="139">
        <v>3.5</v>
      </c>
      <c r="J43" s="139">
        <v>0</v>
      </c>
      <c r="K43" s="139">
        <f>'[5]June 23'!K43+'[5]July 2023'!J43</f>
        <v>0</v>
      </c>
      <c r="L43" s="139">
        <v>0</v>
      </c>
      <c r="M43" s="139">
        <f>'[5]June 23'!M43+'[5]July 2023'!L43</f>
        <v>0</v>
      </c>
      <c r="N43" s="139">
        <f t="shared" si="1"/>
        <v>3.5</v>
      </c>
      <c r="O43" s="139">
        <v>29.8</v>
      </c>
      <c r="P43" s="139">
        <v>0</v>
      </c>
      <c r="Q43" s="139">
        <f>'[5]June 23'!Q43+'[5]July 2023'!P43</f>
        <v>0</v>
      </c>
      <c r="R43" s="139">
        <v>0</v>
      </c>
      <c r="S43" s="139">
        <f>'[5]June 23'!S43+'[5]July 2023'!R43</f>
        <v>0</v>
      </c>
      <c r="T43" s="139">
        <f t="shared" si="2"/>
        <v>29.8</v>
      </c>
      <c r="U43" s="139">
        <f t="shared" si="3"/>
        <v>4353.0500000000011</v>
      </c>
    </row>
    <row r="44" spans="1:21" s="111" customFormat="1" ht="38.25" customHeight="1" x14ac:dyDescent="0.4">
      <c r="A44" s="240" t="s">
        <v>109</v>
      </c>
      <c r="B44" s="240"/>
      <c r="C44" s="141">
        <f>SUM(C40:C43)</f>
        <v>38783.775999999983</v>
      </c>
      <c r="D44" s="141">
        <f t="shared" ref="D44:U44" si="13">SUM(D40:D43)</f>
        <v>28.019999999999996</v>
      </c>
      <c r="E44" s="141">
        <f t="shared" si="13"/>
        <v>351.14</v>
      </c>
      <c r="F44" s="141">
        <f t="shared" si="13"/>
        <v>0</v>
      </c>
      <c r="G44" s="141">
        <f t="shared" si="13"/>
        <v>0</v>
      </c>
      <c r="H44" s="141">
        <f t="shared" si="13"/>
        <v>38811.795999999988</v>
      </c>
      <c r="I44" s="141">
        <f t="shared" si="13"/>
        <v>226.51999999999998</v>
      </c>
      <c r="J44" s="141">
        <f t="shared" si="13"/>
        <v>0</v>
      </c>
      <c r="K44" s="141">
        <f t="shared" si="13"/>
        <v>0</v>
      </c>
      <c r="L44" s="141">
        <f t="shared" si="13"/>
        <v>0</v>
      </c>
      <c r="M44" s="141">
        <f t="shared" si="13"/>
        <v>0</v>
      </c>
      <c r="N44" s="141">
        <f t="shared" si="13"/>
        <v>226.51999999999998</v>
      </c>
      <c r="O44" s="141">
        <f t="shared" si="13"/>
        <v>483.37000000000006</v>
      </c>
      <c r="P44" s="141">
        <f t="shared" si="13"/>
        <v>0</v>
      </c>
      <c r="Q44" s="141">
        <f t="shared" si="13"/>
        <v>0</v>
      </c>
      <c r="R44" s="141">
        <f t="shared" si="13"/>
        <v>0</v>
      </c>
      <c r="S44" s="141">
        <f t="shared" si="13"/>
        <v>0</v>
      </c>
      <c r="T44" s="141">
        <f t="shared" si="13"/>
        <v>483.37000000000006</v>
      </c>
      <c r="U44" s="141">
        <f t="shared" si="13"/>
        <v>39521.685999999994</v>
      </c>
    </row>
    <row r="45" spans="1:21" ht="38.25" customHeight="1" x14ac:dyDescent="0.35">
      <c r="A45" s="171">
        <v>29</v>
      </c>
      <c r="B45" s="172" t="s">
        <v>113</v>
      </c>
      <c r="C45" s="139">
        <v>8436.6020999999982</v>
      </c>
      <c r="D45" s="139">
        <v>22.08</v>
      </c>
      <c r="E45" s="139">
        <f>'[5]June 23'!E45+'[5]July 2023'!D45</f>
        <v>94.87</v>
      </c>
      <c r="F45" s="139">
        <v>0</v>
      </c>
      <c r="G45" s="139">
        <f>'[5]June 23'!G45+'[5]July 2023'!F45</f>
        <v>0</v>
      </c>
      <c r="H45" s="139">
        <f t="shared" si="0"/>
        <v>8458.6820999999982</v>
      </c>
      <c r="I45" s="139">
        <v>261.14999999999992</v>
      </c>
      <c r="J45" s="139">
        <v>0</v>
      </c>
      <c r="K45" s="139">
        <f>'[5]June 23'!K45+'[5]July 2023'!J45</f>
        <v>0.1</v>
      </c>
      <c r="L45" s="139">
        <v>0</v>
      </c>
      <c r="M45" s="139">
        <f>'[5]June 23'!M45+'[5]July 2023'!L45</f>
        <v>0</v>
      </c>
      <c r="N45" s="139">
        <f t="shared" si="1"/>
        <v>261.14999999999992</v>
      </c>
      <c r="O45" s="139">
        <v>84.45</v>
      </c>
      <c r="P45" s="139">
        <v>0</v>
      </c>
      <c r="Q45" s="139">
        <f>'[5]June 23'!Q45+'[5]July 2023'!P45</f>
        <v>0.06</v>
      </c>
      <c r="R45" s="139">
        <v>0</v>
      </c>
      <c r="S45" s="139">
        <f>'[5]June 23'!S45+'[5]July 2023'!R45</f>
        <v>0</v>
      </c>
      <c r="T45" s="139">
        <f t="shared" si="2"/>
        <v>84.45</v>
      </c>
      <c r="U45" s="139">
        <f t="shared" si="3"/>
        <v>8804.2820999999985</v>
      </c>
    </row>
    <row r="46" spans="1:21" ht="38.25" customHeight="1" x14ac:dyDescent="0.35">
      <c r="A46" s="171">
        <v>30</v>
      </c>
      <c r="B46" s="172" t="s">
        <v>114</v>
      </c>
      <c r="C46" s="139">
        <v>8049.3250000000016</v>
      </c>
      <c r="D46" s="139">
        <v>21.5</v>
      </c>
      <c r="E46" s="139">
        <f>'[5]June 23'!E46+'[5]July 2023'!D46</f>
        <v>123.59</v>
      </c>
      <c r="F46" s="139">
        <v>0</v>
      </c>
      <c r="G46" s="139">
        <f>'[5]June 23'!G46+'[5]July 2023'!F46</f>
        <v>0</v>
      </c>
      <c r="H46" s="139">
        <f t="shared" si="0"/>
        <v>8070.8250000000016</v>
      </c>
      <c r="I46" s="139">
        <v>0</v>
      </c>
      <c r="J46" s="139">
        <v>0</v>
      </c>
      <c r="K46" s="139">
        <f>'[5]June 23'!K46+'[5]July 2023'!J46</f>
        <v>0</v>
      </c>
      <c r="L46" s="139">
        <v>0</v>
      </c>
      <c r="M46" s="139">
        <f>'[5]June 23'!M46+'[5]July 2023'!L46</f>
        <v>0</v>
      </c>
      <c r="N46" s="139">
        <f t="shared" si="1"/>
        <v>0</v>
      </c>
      <c r="O46" s="139">
        <v>47.03</v>
      </c>
      <c r="P46" s="139">
        <v>0</v>
      </c>
      <c r="Q46" s="139">
        <f>'[5]June 23'!Q46+'[5]July 2023'!P46</f>
        <v>0</v>
      </c>
      <c r="R46" s="139">
        <v>0</v>
      </c>
      <c r="S46" s="139">
        <f>'[5]June 23'!S46+'[5]July 2023'!R46</f>
        <v>0</v>
      </c>
      <c r="T46" s="139">
        <f t="shared" si="2"/>
        <v>47.03</v>
      </c>
      <c r="U46" s="139">
        <f t="shared" si="3"/>
        <v>8117.8550000000014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9332.2799999999952</v>
      </c>
      <c r="D47" s="139">
        <v>17.21</v>
      </c>
      <c r="E47" s="139">
        <f>'[5]June 23'!E47+'[5]July 2023'!D47</f>
        <v>271.78999999999996</v>
      </c>
      <c r="F47" s="139">
        <v>0</v>
      </c>
      <c r="G47" s="139">
        <f>'[5]June 23'!G47+'[5]July 2023'!F47</f>
        <v>0</v>
      </c>
      <c r="H47" s="139">
        <f t="shared" si="0"/>
        <v>9349.4899999999943</v>
      </c>
      <c r="I47" s="139">
        <v>3.13</v>
      </c>
      <c r="J47" s="139">
        <v>0</v>
      </c>
      <c r="K47" s="139">
        <f>'[5]June 23'!K47+'[5]July 2023'!J47</f>
        <v>0</v>
      </c>
      <c r="L47" s="139">
        <v>0</v>
      </c>
      <c r="M47" s="139">
        <f>'[5]June 23'!M47+'[5]July 2023'!L47</f>
        <v>0</v>
      </c>
      <c r="N47" s="139">
        <f t="shared" si="1"/>
        <v>3.13</v>
      </c>
      <c r="O47" s="139">
        <v>118.94999999999999</v>
      </c>
      <c r="P47" s="139">
        <v>0</v>
      </c>
      <c r="Q47" s="139">
        <f>'[5]June 23'!Q47+'[5]July 2023'!P47</f>
        <v>0</v>
      </c>
      <c r="R47" s="139">
        <v>0</v>
      </c>
      <c r="S47" s="139">
        <f>'[5]June 23'!S47+'[5]July 2023'!R47</f>
        <v>0</v>
      </c>
      <c r="T47" s="139">
        <f t="shared" si="2"/>
        <v>118.94999999999999</v>
      </c>
      <c r="U47" s="139">
        <f t="shared" si="3"/>
        <v>9471.5699999999943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8642.498999999998</v>
      </c>
      <c r="D48" s="139">
        <v>0.32</v>
      </c>
      <c r="E48" s="139">
        <f>'[5]June 23'!E48+'[5]July 2023'!D48</f>
        <v>36.870000000000005</v>
      </c>
      <c r="F48" s="139">
        <v>0</v>
      </c>
      <c r="G48" s="139">
        <f>'[5]June 23'!G48+'[5]July 2023'!F48</f>
        <v>0</v>
      </c>
      <c r="H48" s="139">
        <f t="shared" si="0"/>
        <v>8642.8189999999977</v>
      </c>
      <c r="I48" s="139">
        <v>5.0249999999999995</v>
      </c>
      <c r="J48" s="139">
        <v>0</v>
      </c>
      <c r="K48" s="139">
        <f>'[5]June 23'!K48+'[5]July 2023'!J48</f>
        <v>0</v>
      </c>
      <c r="L48" s="139">
        <v>0</v>
      </c>
      <c r="M48" s="139">
        <f>'[5]June 23'!M48+'[5]July 2023'!L48</f>
        <v>0</v>
      </c>
      <c r="N48" s="139">
        <f t="shared" si="1"/>
        <v>5.0249999999999995</v>
      </c>
      <c r="O48" s="139">
        <v>4.21</v>
      </c>
      <c r="P48" s="139">
        <v>0</v>
      </c>
      <c r="Q48" s="139">
        <f>'[5]June 23'!Q48+'[5]July 2023'!P48</f>
        <v>0</v>
      </c>
      <c r="R48" s="139">
        <v>0</v>
      </c>
      <c r="S48" s="139">
        <f>'[5]June 23'!S48+'[5]July 2023'!R48</f>
        <v>0</v>
      </c>
      <c r="T48" s="139">
        <f t="shared" si="2"/>
        <v>4.21</v>
      </c>
      <c r="U48" s="139">
        <f t="shared" si="3"/>
        <v>8652.0539999999964</v>
      </c>
    </row>
    <row r="49" spans="1:21" s="111" customFormat="1" ht="38.25" customHeight="1" x14ac:dyDescent="0.4">
      <c r="A49" s="240" t="s">
        <v>117</v>
      </c>
      <c r="B49" s="240"/>
      <c r="C49" s="141">
        <f>SUM(C45:C48)</f>
        <v>34460.706099999996</v>
      </c>
      <c r="D49" s="141">
        <f t="shared" ref="D49:U49" si="14">SUM(D45:D48)</f>
        <v>61.11</v>
      </c>
      <c r="E49" s="141">
        <f t="shared" si="14"/>
        <v>527.12</v>
      </c>
      <c r="F49" s="141">
        <f t="shared" si="14"/>
        <v>0</v>
      </c>
      <c r="G49" s="141">
        <f t="shared" si="14"/>
        <v>0</v>
      </c>
      <c r="H49" s="141">
        <f t="shared" si="14"/>
        <v>34521.816099999989</v>
      </c>
      <c r="I49" s="141">
        <f t="shared" si="14"/>
        <v>269.30499999999989</v>
      </c>
      <c r="J49" s="141">
        <f t="shared" si="14"/>
        <v>0</v>
      </c>
      <c r="K49" s="141">
        <f t="shared" si="14"/>
        <v>0.1</v>
      </c>
      <c r="L49" s="141">
        <f t="shared" si="14"/>
        <v>0</v>
      </c>
      <c r="M49" s="141">
        <f t="shared" si="14"/>
        <v>0</v>
      </c>
      <c r="N49" s="141">
        <f t="shared" si="14"/>
        <v>269.30499999999989</v>
      </c>
      <c r="O49" s="141">
        <f t="shared" si="14"/>
        <v>254.64000000000001</v>
      </c>
      <c r="P49" s="141">
        <f t="shared" si="14"/>
        <v>0</v>
      </c>
      <c r="Q49" s="141">
        <f t="shared" si="14"/>
        <v>0.06</v>
      </c>
      <c r="R49" s="141">
        <f t="shared" si="14"/>
        <v>0</v>
      </c>
      <c r="S49" s="141">
        <f t="shared" si="14"/>
        <v>0</v>
      </c>
      <c r="T49" s="141">
        <f t="shared" si="14"/>
        <v>254.64000000000001</v>
      </c>
      <c r="U49" s="141">
        <f t="shared" si="14"/>
        <v>35045.761099999989</v>
      </c>
    </row>
    <row r="50" spans="1:21" s="145" customFormat="1" ht="38.25" customHeight="1" x14ac:dyDescent="0.4">
      <c r="A50" s="243" t="s">
        <v>118</v>
      </c>
      <c r="B50" s="243"/>
      <c r="C50" s="141">
        <f>C49+C44</f>
        <v>73244.482099999979</v>
      </c>
      <c r="D50" s="141">
        <f t="shared" ref="D50:U50" si="15">D49+D44</f>
        <v>89.13</v>
      </c>
      <c r="E50" s="141">
        <f t="shared" si="15"/>
        <v>878.26</v>
      </c>
      <c r="F50" s="141">
        <f t="shared" si="15"/>
        <v>0</v>
      </c>
      <c r="G50" s="141">
        <f t="shared" si="15"/>
        <v>0</v>
      </c>
      <c r="H50" s="141">
        <f t="shared" si="15"/>
        <v>73333.612099999969</v>
      </c>
      <c r="I50" s="141">
        <f t="shared" si="15"/>
        <v>495.82499999999987</v>
      </c>
      <c r="J50" s="141">
        <f t="shared" si="15"/>
        <v>0</v>
      </c>
      <c r="K50" s="141">
        <f t="shared" si="15"/>
        <v>0.1</v>
      </c>
      <c r="L50" s="141">
        <f t="shared" si="15"/>
        <v>0</v>
      </c>
      <c r="M50" s="141">
        <f t="shared" si="15"/>
        <v>0</v>
      </c>
      <c r="N50" s="141">
        <f t="shared" si="15"/>
        <v>495.82499999999987</v>
      </c>
      <c r="O50" s="141">
        <f t="shared" si="15"/>
        <v>738.0100000000001</v>
      </c>
      <c r="P50" s="141">
        <f t="shared" si="15"/>
        <v>0</v>
      </c>
      <c r="Q50" s="141">
        <f t="shared" si="15"/>
        <v>0.06</v>
      </c>
      <c r="R50" s="141">
        <f t="shared" si="15"/>
        <v>0</v>
      </c>
      <c r="S50" s="141">
        <f t="shared" si="15"/>
        <v>0</v>
      </c>
      <c r="T50" s="141">
        <f t="shared" si="15"/>
        <v>738.0100000000001</v>
      </c>
      <c r="U50" s="141">
        <f t="shared" si="15"/>
        <v>74567.44709999999</v>
      </c>
    </row>
    <row r="51" spans="1:21" s="146" customFormat="1" ht="38.25" customHeight="1" x14ac:dyDescent="0.4">
      <c r="A51" s="237" t="s">
        <v>119</v>
      </c>
      <c r="B51" s="237"/>
      <c r="C51" s="141">
        <f>C50+C39+C25</f>
        <v>120525.74689999997</v>
      </c>
      <c r="D51" s="141">
        <f t="shared" ref="D51:U51" si="16">D50+D39+D25</f>
        <v>170.00899999999999</v>
      </c>
      <c r="E51" s="141">
        <f t="shared" si="16"/>
        <v>1273.6670000000001</v>
      </c>
      <c r="F51" s="141">
        <f t="shared" si="16"/>
        <v>3.5900000000000003</v>
      </c>
      <c r="G51" s="141">
        <f t="shared" si="16"/>
        <v>17.62</v>
      </c>
      <c r="H51" s="141">
        <f t="shared" si="16"/>
        <v>120692.16589999998</v>
      </c>
      <c r="I51" s="141">
        <f t="shared" si="16"/>
        <v>11049.537</v>
      </c>
      <c r="J51" s="141">
        <f t="shared" si="16"/>
        <v>76.555000000000007</v>
      </c>
      <c r="K51" s="141">
        <f t="shared" si="16"/>
        <v>217.696</v>
      </c>
      <c r="L51" s="141">
        <f t="shared" si="16"/>
        <v>0</v>
      </c>
      <c r="M51" s="141">
        <f t="shared" si="16"/>
        <v>0.49</v>
      </c>
      <c r="N51" s="141">
        <f t="shared" si="16"/>
        <v>11126.092000000001</v>
      </c>
      <c r="O51" s="141">
        <f t="shared" si="16"/>
        <v>1647.51</v>
      </c>
      <c r="P51" s="141">
        <f t="shared" si="16"/>
        <v>0</v>
      </c>
      <c r="Q51" s="141">
        <f t="shared" si="16"/>
        <v>1.53</v>
      </c>
      <c r="R51" s="141">
        <f t="shared" si="16"/>
        <v>16.239999999999998</v>
      </c>
      <c r="S51" s="141">
        <f t="shared" si="16"/>
        <v>47.5</v>
      </c>
      <c r="T51" s="141">
        <f t="shared" si="16"/>
        <v>1631.27</v>
      </c>
      <c r="U51" s="141">
        <f t="shared" si="16"/>
        <v>133449.52789999999</v>
      </c>
    </row>
    <row r="52" spans="1:21" s="111" customFormat="1" ht="24" customHeight="1" x14ac:dyDescent="0.4">
      <c r="A52" s="115"/>
      <c r="B52" s="115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</row>
    <row r="53" spans="1:21" s="111" customFormat="1" ht="19.5" customHeight="1" x14ac:dyDescent="0.4">
      <c r="A53" s="115"/>
      <c r="B53" s="115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</row>
    <row r="54" spans="1:21" s="115" customFormat="1" ht="24.75" hidden="1" customHeight="1" x14ac:dyDescent="0.4">
      <c r="B54" s="174"/>
      <c r="C54" s="189" t="s">
        <v>54</v>
      </c>
      <c r="D54" s="189"/>
      <c r="E54" s="189"/>
      <c r="F54" s="189"/>
      <c r="G54" s="189"/>
      <c r="H54" s="118"/>
      <c r="I54" s="174"/>
      <c r="J54" s="174">
        <f>D51+J51+P51-F51-L51-R51</f>
        <v>226.73399999999998</v>
      </c>
      <c r="K54" s="174"/>
      <c r="L54" s="174"/>
      <c r="M54" s="174"/>
      <c r="N54" s="174"/>
      <c r="R54" s="174"/>
      <c r="U54" s="174"/>
    </row>
    <row r="55" spans="1:21" s="115" customFormat="1" ht="30" hidden="1" customHeight="1" x14ac:dyDescent="0.35">
      <c r="B55" s="174"/>
      <c r="C55" s="189" t="s">
        <v>55</v>
      </c>
      <c r="D55" s="189"/>
      <c r="E55" s="189"/>
      <c r="F55" s="189"/>
      <c r="G55" s="189"/>
      <c r="H55" s="119"/>
      <c r="I55" s="174"/>
      <c r="J55" s="174">
        <f>E51+K51+Q51-G51-M51-S51</f>
        <v>1427.2830000000001</v>
      </c>
      <c r="K55" s="174"/>
      <c r="L55" s="174"/>
      <c r="M55" s="174"/>
      <c r="N55" s="174"/>
      <c r="R55" s="174"/>
      <c r="T55" s="174"/>
    </row>
    <row r="56" spans="1:21" ht="33" hidden="1" customHeight="1" x14ac:dyDescent="0.5">
      <c r="C56" s="189" t="s">
        <v>56</v>
      </c>
      <c r="D56" s="189"/>
      <c r="E56" s="189"/>
      <c r="F56" s="189"/>
      <c r="G56" s="189"/>
      <c r="H56" s="119"/>
      <c r="I56" s="121"/>
      <c r="J56" s="174">
        <f>H51+N51+T51</f>
        <v>133449.52789999996</v>
      </c>
      <c r="K56" s="119"/>
      <c r="L56" s="119"/>
      <c r="M56" s="142" t="e">
        <f>#REF!+'Sep-2023'!J54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74"/>
      <c r="E57" s="174"/>
      <c r="F57" s="174"/>
      <c r="G57" s="174"/>
      <c r="H57" s="119"/>
      <c r="I57" s="121"/>
      <c r="J57" s="174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74"/>
      <c r="E58" s="174"/>
      <c r="F58" s="174"/>
      <c r="G58" s="174"/>
      <c r="H58" s="119"/>
      <c r="I58" s="121"/>
      <c r="J58" s="174"/>
      <c r="K58" s="119"/>
      <c r="L58" s="119"/>
      <c r="M58" s="142" t="e">
        <f>#REF!+'Sep-2023'!J54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32" t="s">
        <v>57</v>
      </c>
      <c r="C59" s="232"/>
      <c r="D59" s="232"/>
      <c r="E59" s="232"/>
      <c r="F59" s="232"/>
      <c r="G59" s="153"/>
      <c r="H59" s="154"/>
      <c r="I59" s="155"/>
      <c r="J59" s="234"/>
      <c r="K59" s="233"/>
      <c r="L59" s="233"/>
      <c r="M59" s="169" t="e">
        <f>#REF!+'Sep-2023'!J54</f>
        <v>#REF!</v>
      </c>
      <c r="N59" s="154"/>
      <c r="O59" s="154"/>
      <c r="P59" s="177"/>
      <c r="Q59" s="232" t="s">
        <v>58</v>
      </c>
      <c r="R59" s="232"/>
      <c r="S59" s="232"/>
      <c r="T59" s="232"/>
      <c r="U59" s="232"/>
    </row>
    <row r="60" spans="1:21" s="152" customFormat="1" ht="37.5" hidden="1" customHeight="1" x14ac:dyDescent="0.45">
      <c r="B60" s="232" t="s">
        <v>59</v>
      </c>
      <c r="C60" s="232"/>
      <c r="D60" s="232"/>
      <c r="E60" s="232"/>
      <c r="F60" s="232"/>
      <c r="G60" s="154"/>
      <c r="H60" s="153"/>
      <c r="I60" s="156"/>
      <c r="J60" s="157"/>
      <c r="K60" s="176"/>
      <c r="L60" s="157"/>
      <c r="M60" s="154"/>
      <c r="N60" s="153"/>
      <c r="O60" s="154"/>
      <c r="P60" s="177"/>
      <c r="Q60" s="232" t="s">
        <v>59</v>
      </c>
      <c r="R60" s="232"/>
      <c r="S60" s="232"/>
      <c r="T60" s="232"/>
      <c r="U60" s="232"/>
    </row>
    <row r="61" spans="1:21" s="152" customFormat="1" ht="37.5" hidden="1" customHeight="1" x14ac:dyDescent="0.45">
      <c r="I61" s="158"/>
      <c r="J61" s="233" t="s">
        <v>61</v>
      </c>
      <c r="K61" s="233"/>
      <c r="L61" s="233"/>
      <c r="M61" s="159" t="e">
        <f>#REF!+'Sep-2023'!J54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#REF!+'Sep-2023'!J54</f>
        <v>#REF!</v>
      </c>
      <c r="I62" s="158"/>
      <c r="J62" s="233" t="s">
        <v>62</v>
      </c>
      <c r="K62" s="233"/>
      <c r="L62" s="233"/>
      <c r="M62" s="159" t="e">
        <f>#REF!+'Sep-2023'!J54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R5:S5"/>
    <mergeCell ref="T5:T6"/>
    <mergeCell ref="I5:I6"/>
    <mergeCell ref="J5:K5"/>
    <mergeCell ref="L5:M5"/>
    <mergeCell ref="N5:N6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1:B11"/>
    <mergeCell ref="F5:G5"/>
    <mergeCell ref="H5:H6"/>
    <mergeCell ref="B60:F60"/>
    <mergeCell ref="Q60:U60"/>
    <mergeCell ref="J61:L61"/>
    <mergeCell ref="J62:L62"/>
    <mergeCell ref="C54:G54"/>
    <mergeCell ref="C55:G55"/>
    <mergeCell ref="C56:G56"/>
    <mergeCell ref="B59:F59"/>
    <mergeCell ref="J59:L59"/>
    <mergeCell ref="Q59:U5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zoomScale="40" zoomScaleNormal="40" workbookViewId="0">
      <selection activeCell="Q7" sqref="Q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3" width="25.42578125" style="107" customWidth="1"/>
    <col min="14" max="14" width="27.7109375" style="107" bestFit="1" customWidth="1"/>
    <col min="15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.28515625" style="123" bestFit="1" customWidth="1"/>
    <col min="22" max="16384" width="9.140625" style="107"/>
  </cols>
  <sheetData>
    <row r="1" spans="1:21" ht="78" customHeight="1" x14ac:dyDescent="0.35">
      <c r="A1" s="246" t="s">
        <v>123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</row>
    <row r="2" spans="1:21" ht="54" customHeight="1" x14ac:dyDescent="0.35">
      <c r="A2" s="248" t="s">
        <v>138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1" ht="32.25" customHeight="1" x14ac:dyDescent="0.35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</row>
    <row r="4" spans="1:21" s="108" customFormat="1" ht="43.5" customHeight="1" x14ac:dyDescent="0.25">
      <c r="A4" s="250" t="s">
        <v>122</v>
      </c>
      <c r="B4" s="235" t="s">
        <v>121</v>
      </c>
      <c r="C4" s="192" t="s">
        <v>131</v>
      </c>
      <c r="D4" s="193"/>
      <c r="E4" s="193"/>
      <c r="F4" s="193"/>
      <c r="G4" s="193"/>
      <c r="H4" s="193"/>
      <c r="I4" s="192" t="s">
        <v>130</v>
      </c>
      <c r="J4" s="193"/>
      <c r="K4" s="193"/>
      <c r="L4" s="193"/>
      <c r="M4" s="193"/>
      <c r="N4" s="193"/>
      <c r="O4" s="192" t="s">
        <v>129</v>
      </c>
      <c r="P4" s="193"/>
      <c r="Q4" s="193"/>
      <c r="R4" s="193"/>
      <c r="S4" s="193"/>
      <c r="T4" s="193"/>
      <c r="U4" s="175"/>
    </row>
    <row r="5" spans="1:21" s="108" customFormat="1" ht="54.75" customHeight="1" x14ac:dyDescent="0.25">
      <c r="A5" s="252"/>
      <c r="B5" s="253"/>
      <c r="C5" s="244" t="s">
        <v>6</v>
      </c>
      <c r="D5" s="238" t="s">
        <v>127</v>
      </c>
      <c r="E5" s="239"/>
      <c r="F5" s="238" t="s">
        <v>126</v>
      </c>
      <c r="G5" s="239"/>
      <c r="H5" s="244" t="s">
        <v>9</v>
      </c>
      <c r="I5" s="244" t="s">
        <v>6</v>
      </c>
      <c r="J5" s="238" t="s">
        <v>127</v>
      </c>
      <c r="K5" s="239"/>
      <c r="L5" s="238" t="s">
        <v>126</v>
      </c>
      <c r="M5" s="239"/>
      <c r="N5" s="244" t="s">
        <v>9</v>
      </c>
      <c r="O5" s="244" t="s">
        <v>6</v>
      </c>
      <c r="P5" s="238" t="s">
        <v>127</v>
      </c>
      <c r="Q5" s="239"/>
      <c r="R5" s="238" t="s">
        <v>126</v>
      </c>
      <c r="S5" s="239"/>
      <c r="T5" s="244" t="s">
        <v>9</v>
      </c>
      <c r="U5" s="235" t="s">
        <v>128</v>
      </c>
    </row>
    <row r="6" spans="1:21" s="108" customFormat="1" ht="38.25" customHeight="1" x14ac:dyDescent="0.25">
      <c r="A6" s="252"/>
      <c r="B6" s="236"/>
      <c r="C6" s="245"/>
      <c r="D6" s="172" t="s">
        <v>124</v>
      </c>
      <c r="E6" s="172" t="s">
        <v>125</v>
      </c>
      <c r="F6" s="172" t="s">
        <v>124</v>
      </c>
      <c r="G6" s="172" t="s">
        <v>125</v>
      </c>
      <c r="H6" s="245"/>
      <c r="I6" s="245"/>
      <c r="J6" s="172" t="s">
        <v>124</v>
      </c>
      <c r="K6" s="172" t="s">
        <v>125</v>
      </c>
      <c r="L6" s="172" t="s">
        <v>124</v>
      </c>
      <c r="M6" s="172" t="s">
        <v>125</v>
      </c>
      <c r="N6" s="245"/>
      <c r="O6" s="245"/>
      <c r="P6" s="172" t="s">
        <v>124</v>
      </c>
      <c r="Q6" s="172" t="s">
        <v>125</v>
      </c>
      <c r="R6" s="172" t="s">
        <v>124</v>
      </c>
      <c r="S6" s="172" t="s">
        <v>125</v>
      </c>
      <c r="T6" s="245"/>
      <c r="U6" s="236"/>
    </row>
    <row r="7" spans="1:21" ht="38.25" customHeight="1" x14ac:dyDescent="0.35">
      <c r="A7" s="171">
        <v>1</v>
      </c>
      <c r="B7" s="172" t="s">
        <v>78</v>
      </c>
      <c r="C7" s="139">
        <f>'[5]July 2023'!H7</f>
        <v>7.179999999999982</v>
      </c>
      <c r="D7" s="139">
        <v>0</v>
      </c>
      <c r="E7" s="139">
        <f>'[5]July 2023'!E7+'[5]Aug 2023'!D7</f>
        <v>0</v>
      </c>
      <c r="F7" s="139">
        <v>0</v>
      </c>
      <c r="G7" s="139">
        <f>'[5]July 2023'!G7+'[5]Aug 2023'!F7</f>
        <v>0</v>
      </c>
      <c r="H7" s="139">
        <f>C7+D7-F7</f>
        <v>7.179999999999982</v>
      </c>
      <c r="I7" s="139">
        <f>'[5]July 2023'!N7</f>
        <v>723.00699999999972</v>
      </c>
      <c r="J7" s="139">
        <v>1.25</v>
      </c>
      <c r="K7" s="139">
        <f>'[5]July 2023'!K7+'[5]Aug 2023'!J7</f>
        <v>9.8000000000000007</v>
      </c>
      <c r="L7" s="139">
        <v>0</v>
      </c>
      <c r="M7" s="139">
        <f>'[5]July 2023'!M7+'[5]Aug 2023'!L7</f>
        <v>0</v>
      </c>
      <c r="N7" s="139">
        <f>I7+J7-L7</f>
        <v>724.25699999999972</v>
      </c>
      <c r="O7" s="139">
        <f>'[5]July 2023'!T7</f>
        <v>8.436000000000007</v>
      </c>
      <c r="P7" s="139">
        <v>0</v>
      </c>
      <c r="Q7" s="139">
        <f>'[5]July 2023'!Q7+'[5]Aug 2023'!P7</f>
        <v>0</v>
      </c>
      <c r="R7" s="139">
        <v>0</v>
      </c>
      <c r="S7" s="139">
        <f>'[5]July 2023'!S7+'[5]Aug 2023'!R7</f>
        <v>0</v>
      </c>
      <c r="T7" s="139">
        <f>O7+P7-R7</f>
        <v>8.436000000000007</v>
      </c>
      <c r="U7" s="139">
        <f>H7+N7+T7</f>
        <v>739.87299999999971</v>
      </c>
    </row>
    <row r="8" spans="1:21" ht="38.25" customHeight="1" x14ac:dyDescent="0.35">
      <c r="A8" s="171">
        <v>2</v>
      </c>
      <c r="B8" s="172" t="s">
        <v>79</v>
      </c>
      <c r="C8" s="139">
        <f>'[5]July 2023'!H8</f>
        <v>265.98999999999995</v>
      </c>
      <c r="D8" s="139">
        <v>0</v>
      </c>
      <c r="E8" s="139">
        <f>'[5]July 2023'!E8+'[5]Aug 2023'!D8</f>
        <v>0</v>
      </c>
      <c r="F8" s="139">
        <v>0</v>
      </c>
      <c r="G8" s="139">
        <f>'[5]July 2023'!G8+'[5]Aug 2023'!F8</f>
        <v>0</v>
      </c>
      <c r="H8" s="139">
        <f t="shared" ref="H8:H48" si="0">C8+D8-F8</f>
        <v>265.98999999999995</v>
      </c>
      <c r="I8" s="139">
        <f>'[5]July 2023'!N8</f>
        <v>440.59600000000012</v>
      </c>
      <c r="J8" s="139">
        <v>28.68</v>
      </c>
      <c r="K8" s="139">
        <f>'[5]July 2023'!K8+'[5]Aug 2023'!J8</f>
        <v>71.13000000000001</v>
      </c>
      <c r="L8" s="139">
        <v>0</v>
      </c>
      <c r="M8" s="139">
        <f>'[5]July 2023'!M8+'[5]Aug 2023'!L8</f>
        <v>0</v>
      </c>
      <c r="N8" s="139">
        <f t="shared" ref="N8:N48" si="1">I8+J8-L8</f>
        <v>469.27600000000012</v>
      </c>
      <c r="O8" s="139">
        <f>'[5]July 2023'!T8</f>
        <v>66.290000000000006</v>
      </c>
      <c r="P8" s="139">
        <v>0</v>
      </c>
      <c r="Q8" s="139">
        <f>'[5]July 2023'!Q8+'[5]Aug 2023'!P8</f>
        <v>0</v>
      </c>
      <c r="R8" s="139">
        <v>0</v>
      </c>
      <c r="S8" s="139">
        <f>'[5]July 2023'!S8+'[5]Aug 2023'!R8</f>
        <v>0</v>
      </c>
      <c r="T8" s="139">
        <f t="shared" ref="T8:T48" si="2">O8+P8-R8</f>
        <v>66.290000000000006</v>
      </c>
      <c r="U8" s="139">
        <f t="shared" ref="U8:U48" si="3">H8+N8+T8</f>
        <v>801.55600000000004</v>
      </c>
    </row>
    <row r="9" spans="1:21" ht="38.25" customHeight="1" x14ac:dyDescent="0.35">
      <c r="A9" s="171">
        <v>3</v>
      </c>
      <c r="B9" s="172" t="s">
        <v>80</v>
      </c>
      <c r="C9" s="139">
        <f>'[5]July 2023'!H9</f>
        <v>209.16</v>
      </c>
      <c r="D9" s="139">
        <v>0</v>
      </c>
      <c r="E9" s="139">
        <f>'[5]July 2023'!E9+'[5]Aug 2023'!D9</f>
        <v>0</v>
      </c>
      <c r="F9" s="139">
        <v>0</v>
      </c>
      <c r="G9" s="139">
        <f>'[5]July 2023'!G9+'[5]Aug 2023'!F9</f>
        <v>0</v>
      </c>
      <c r="H9" s="139">
        <f t="shared" si="0"/>
        <v>209.16</v>
      </c>
      <c r="I9" s="139">
        <f>'[5]July 2023'!N9</f>
        <v>929.05799999999988</v>
      </c>
      <c r="J9" s="139">
        <v>4.59</v>
      </c>
      <c r="K9" s="139">
        <f>'[5]July 2023'!K9+'[5]Aug 2023'!J9</f>
        <v>30.4</v>
      </c>
      <c r="L9" s="139">
        <v>0</v>
      </c>
      <c r="M9" s="139">
        <f>'[5]July 2023'!M9+'[5]Aug 2023'!L9</f>
        <v>0</v>
      </c>
      <c r="N9" s="139">
        <f t="shared" si="1"/>
        <v>933.64799999999991</v>
      </c>
      <c r="O9" s="139">
        <f>'[5]July 2023'!T9</f>
        <v>44.739999999999995</v>
      </c>
      <c r="P9" s="139">
        <v>0</v>
      </c>
      <c r="Q9" s="139">
        <f>'[5]July 2023'!Q9+'[5]Aug 2023'!P9</f>
        <v>0</v>
      </c>
      <c r="R9" s="139">
        <v>0</v>
      </c>
      <c r="S9" s="139">
        <f>'[5]July 2023'!S9+'[5]Aug 2023'!R9</f>
        <v>0</v>
      </c>
      <c r="T9" s="139">
        <f t="shared" si="2"/>
        <v>44.739999999999995</v>
      </c>
      <c r="U9" s="139">
        <f t="shared" si="3"/>
        <v>1187.548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f>'[5]July 2023'!H10</f>
        <v>0</v>
      </c>
      <c r="D10" s="139">
        <v>0</v>
      </c>
      <c r="E10" s="139">
        <f>'[5]July 2023'!E10+'[5]Aug 2023'!D10</f>
        <v>0</v>
      </c>
      <c r="F10" s="139">
        <v>0</v>
      </c>
      <c r="G10" s="139">
        <f>'[5]July 2023'!G10+'[5]Aug 2023'!F10</f>
        <v>0</v>
      </c>
      <c r="H10" s="139">
        <f t="shared" si="0"/>
        <v>0</v>
      </c>
      <c r="I10" s="139">
        <f>'[5]July 2023'!N10</f>
        <v>368.13099999999986</v>
      </c>
      <c r="J10" s="139">
        <v>3.0950000000000002</v>
      </c>
      <c r="K10" s="139">
        <f>'[5]July 2023'!K10+'[5]Aug 2023'!J10</f>
        <v>6.2530000000000001</v>
      </c>
      <c r="L10" s="139">
        <v>0</v>
      </c>
      <c r="M10" s="139">
        <f>'[5]July 2023'!M10+'[5]Aug 2023'!L10</f>
        <v>0</v>
      </c>
      <c r="N10" s="139">
        <f t="shared" si="1"/>
        <v>371.22599999999989</v>
      </c>
      <c r="O10" s="139">
        <f>'[5]July 2023'!T10</f>
        <v>0.20000000000000007</v>
      </c>
      <c r="P10" s="139">
        <v>0</v>
      </c>
      <c r="Q10" s="139">
        <f>'[5]July 2023'!Q10+'[5]Aug 2023'!P10</f>
        <v>0</v>
      </c>
      <c r="R10" s="139">
        <v>0</v>
      </c>
      <c r="S10" s="139">
        <f>'[5]July 2023'!S10+'[5]Aug 2023'!R10</f>
        <v>0</v>
      </c>
      <c r="T10" s="139">
        <f t="shared" si="2"/>
        <v>0.20000000000000007</v>
      </c>
      <c r="U10" s="139">
        <f t="shared" si="3"/>
        <v>371.42599999999987</v>
      </c>
    </row>
    <row r="11" spans="1:21" s="111" customFormat="1" ht="38.25" customHeight="1" x14ac:dyDescent="0.4">
      <c r="A11" s="238" t="s">
        <v>82</v>
      </c>
      <c r="B11" s="239"/>
      <c r="C11" s="141">
        <f>SUM(C7:C10)</f>
        <v>482.32999999999993</v>
      </c>
      <c r="D11" s="141">
        <f t="shared" ref="D11:U11" si="4">SUM(D7:D10)</f>
        <v>0</v>
      </c>
      <c r="E11" s="141">
        <f t="shared" si="4"/>
        <v>0</v>
      </c>
      <c r="F11" s="141">
        <f t="shared" si="4"/>
        <v>0</v>
      </c>
      <c r="G11" s="141">
        <f t="shared" si="4"/>
        <v>0</v>
      </c>
      <c r="H11" s="141">
        <f t="shared" si="4"/>
        <v>482.32999999999993</v>
      </c>
      <c r="I11" s="141">
        <f t="shared" si="4"/>
        <v>2460.7919999999995</v>
      </c>
      <c r="J11" s="141">
        <f t="shared" si="4"/>
        <v>37.614999999999995</v>
      </c>
      <c r="K11" s="141">
        <f t="shared" si="4"/>
        <v>117.58300000000001</v>
      </c>
      <c r="L11" s="141">
        <f t="shared" si="4"/>
        <v>0</v>
      </c>
      <c r="M11" s="141">
        <f t="shared" si="4"/>
        <v>0</v>
      </c>
      <c r="N11" s="141">
        <f t="shared" si="4"/>
        <v>2498.4069999999992</v>
      </c>
      <c r="O11" s="141">
        <f t="shared" si="4"/>
        <v>119.66600000000001</v>
      </c>
      <c r="P11" s="141">
        <f t="shared" si="4"/>
        <v>0</v>
      </c>
      <c r="Q11" s="141">
        <f t="shared" si="4"/>
        <v>0</v>
      </c>
      <c r="R11" s="141">
        <f t="shared" si="4"/>
        <v>0</v>
      </c>
      <c r="S11" s="141">
        <f t="shared" si="4"/>
        <v>0</v>
      </c>
      <c r="T11" s="141">
        <f t="shared" si="4"/>
        <v>119.66600000000001</v>
      </c>
      <c r="U11" s="141">
        <f t="shared" si="4"/>
        <v>3100.4029999999998</v>
      </c>
    </row>
    <row r="12" spans="1:21" ht="38.25" customHeight="1" x14ac:dyDescent="0.35">
      <c r="A12" s="171">
        <v>4</v>
      </c>
      <c r="B12" s="172" t="s">
        <v>83</v>
      </c>
      <c r="C12" s="139">
        <f>'[5]July 2023'!H12</f>
        <v>22.179999999999609</v>
      </c>
      <c r="D12" s="139">
        <v>0</v>
      </c>
      <c r="E12" s="139">
        <f>'[5]July 2023'!E12+'[5]Aug 2023'!D12</f>
        <v>0</v>
      </c>
      <c r="F12" s="139">
        <v>0</v>
      </c>
      <c r="G12" s="139">
        <f>'[5]July 2023'!G12+'[5]Aug 2023'!F12</f>
        <v>0</v>
      </c>
      <c r="H12" s="139">
        <f t="shared" si="0"/>
        <v>22.179999999999609</v>
      </c>
      <c r="I12" s="139">
        <f>'[5]July 2023'!N12</f>
        <v>1289.3149999999998</v>
      </c>
      <c r="J12" s="182">
        <f>1.62+1.47</f>
        <v>3.09</v>
      </c>
      <c r="K12" s="139">
        <f>'[5]July 2023'!K12+'[5]Aug 2023'!J12</f>
        <v>15.97</v>
      </c>
      <c r="L12" s="139">
        <v>0</v>
      </c>
      <c r="M12" s="139">
        <f>'[5]July 2023'!M12+'[5]Aug 2023'!L12</f>
        <v>0</v>
      </c>
      <c r="N12" s="139">
        <f t="shared" si="1"/>
        <v>1292.4049999999997</v>
      </c>
      <c r="O12" s="139">
        <f>'[5]July 2023'!T12</f>
        <v>1.9700000000000095</v>
      </c>
      <c r="P12" s="139">
        <v>0</v>
      </c>
      <c r="Q12" s="139">
        <f>'[5]July 2023'!Q12+'[5]Aug 2023'!P12</f>
        <v>0</v>
      </c>
      <c r="R12" s="139">
        <v>0</v>
      </c>
      <c r="S12" s="139">
        <f>'[5]July 2023'!S12+'[5]Aug 2023'!R12</f>
        <v>0</v>
      </c>
      <c r="T12" s="139">
        <f t="shared" si="2"/>
        <v>1.9700000000000095</v>
      </c>
      <c r="U12" s="139">
        <f t="shared" si="3"/>
        <v>1316.5549999999994</v>
      </c>
    </row>
    <row r="13" spans="1:21" ht="38.25" customHeight="1" x14ac:dyDescent="0.35">
      <c r="A13" s="171">
        <v>5</v>
      </c>
      <c r="B13" s="172" t="s">
        <v>84</v>
      </c>
      <c r="C13" s="139">
        <f>'[5]July 2023'!H13</f>
        <v>312.23000000000013</v>
      </c>
      <c r="D13" s="139">
        <v>0</v>
      </c>
      <c r="E13" s="139">
        <f>'[5]July 2023'!E13+'[5]Aug 2023'!D13</f>
        <v>0</v>
      </c>
      <c r="F13" s="139">
        <v>0</v>
      </c>
      <c r="G13" s="139">
        <f>'[5]July 2023'!G13+'[5]Aug 2023'!F13</f>
        <v>0</v>
      </c>
      <c r="H13" s="139">
        <f t="shared" si="0"/>
        <v>312.23000000000013</v>
      </c>
      <c r="I13" s="139">
        <f>'[5]July 2023'!N13</f>
        <v>552.02200000000028</v>
      </c>
      <c r="J13" s="182">
        <f>1.83+0.92</f>
        <v>2.75</v>
      </c>
      <c r="K13" s="139">
        <f>'[5]July 2023'!K13+'[5]Aug 2023'!J13</f>
        <v>9.24</v>
      </c>
      <c r="L13" s="139">
        <v>0</v>
      </c>
      <c r="M13" s="139">
        <f>'[5]July 2023'!M13+'[5]Aug 2023'!L13</f>
        <v>0</v>
      </c>
      <c r="N13" s="139">
        <f t="shared" si="1"/>
        <v>554.77200000000028</v>
      </c>
      <c r="O13" s="139">
        <f>'[5]July 2023'!T13</f>
        <v>68.39</v>
      </c>
      <c r="P13" s="139">
        <v>0</v>
      </c>
      <c r="Q13" s="139">
        <f>'[5]July 2023'!Q13+'[5]Aug 2023'!P13</f>
        <v>0</v>
      </c>
      <c r="R13" s="139">
        <v>0</v>
      </c>
      <c r="S13" s="139">
        <f>'[5]July 2023'!S13+'[5]Aug 2023'!R13</f>
        <v>0</v>
      </c>
      <c r="T13" s="139">
        <f t="shared" si="2"/>
        <v>68.39</v>
      </c>
      <c r="U13" s="139">
        <f t="shared" si="3"/>
        <v>935.39200000000039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f>'[5]July 2023'!H14</f>
        <v>1216.4399999999994</v>
      </c>
      <c r="D14" s="139">
        <v>0</v>
      </c>
      <c r="E14" s="139">
        <f>'[5]July 2023'!E14+'[5]Aug 2023'!D14</f>
        <v>0</v>
      </c>
      <c r="F14" s="139">
        <v>0</v>
      </c>
      <c r="G14" s="139">
        <f>'[5]July 2023'!G14+'[5]Aug 2023'!F14</f>
        <v>0</v>
      </c>
      <c r="H14" s="139">
        <f t="shared" si="0"/>
        <v>1216.4399999999994</v>
      </c>
      <c r="I14" s="139">
        <f>'[5]July 2023'!N14</f>
        <v>923.26800000000037</v>
      </c>
      <c r="J14" s="182">
        <f>2.88+2.17</f>
        <v>5.05</v>
      </c>
      <c r="K14" s="139">
        <f>'[5]July 2023'!K14+'[5]Aug 2023'!J14</f>
        <v>24.82</v>
      </c>
      <c r="L14" s="139">
        <v>0</v>
      </c>
      <c r="M14" s="139">
        <f>'[5]July 2023'!M14+'[5]Aug 2023'!L14</f>
        <v>0</v>
      </c>
      <c r="N14" s="139">
        <f t="shared" si="1"/>
        <v>928.31800000000032</v>
      </c>
      <c r="O14" s="139">
        <f>'[5]July 2023'!T14</f>
        <v>61.329999999999991</v>
      </c>
      <c r="P14" s="139">
        <v>0</v>
      </c>
      <c r="Q14" s="139">
        <f>'[5]July 2023'!Q14+'[5]Aug 2023'!P14</f>
        <v>0</v>
      </c>
      <c r="R14" s="139">
        <v>0</v>
      </c>
      <c r="S14" s="139">
        <f>'[5]July 2023'!S14+'[5]Aug 2023'!R14</f>
        <v>0</v>
      </c>
      <c r="T14" s="139">
        <f t="shared" si="2"/>
        <v>61.329999999999991</v>
      </c>
      <c r="U14" s="139">
        <f t="shared" si="3"/>
        <v>2206.0879999999997</v>
      </c>
    </row>
    <row r="15" spans="1:21" s="111" customFormat="1" ht="38.25" customHeight="1" x14ac:dyDescent="0.4">
      <c r="A15" s="238" t="s">
        <v>86</v>
      </c>
      <c r="B15" s="239"/>
      <c r="C15" s="141">
        <f>SUM(C12:C14)</f>
        <v>1550.849999999999</v>
      </c>
      <c r="D15" s="141">
        <f t="shared" ref="D15:U15" si="5">SUM(D12:D14)</f>
        <v>0</v>
      </c>
      <c r="E15" s="141">
        <f t="shared" si="5"/>
        <v>0</v>
      </c>
      <c r="F15" s="141">
        <f t="shared" si="5"/>
        <v>0</v>
      </c>
      <c r="G15" s="141">
        <f t="shared" si="5"/>
        <v>0</v>
      </c>
      <c r="H15" s="141">
        <f t="shared" si="5"/>
        <v>1550.849999999999</v>
      </c>
      <c r="I15" s="141">
        <f t="shared" si="5"/>
        <v>2764.6050000000005</v>
      </c>
      <c r="J15" s="141">
        <f t="shared" si="5"/>
        <v>10.89</v>
      </c>
      <c r="K15" s="141">
        <f t="shared" si="5"/>
        <v>50.03</v>
      </c>
      <c r="L15" s="141">
        <f t="shared" si="5"/>
        <v>0</v>
      </c>
      <c r="M15" s="141">
        <f t="shared" si="5"/>
        <v>0</v>
      </c>
      <c r="N15" s="141">
        <f t="shared" si="5"/>
        <v>2775.4950000000003</v>
      </c>
      <c r="O15" s="141">
        <f t="shared" si="5"/>
        <v>131.69</v>
      </c>
      <c r="P15" s="141">
        <f t="shared" si="5"/>
        <v>0</v>
      </c>
      <c r="Q15" s="141">
        <f t="shared" si="5"/>
        <v>0</v>
      </c>
      <c r="R15" s="141">
        <f t="shared" si="5"/>
        <v>0</v>
      </c>
      <c r="S15" s="141">
        <f t="shared" si="5"/>
        <v>0</v>
      </c>
      <c r="T15" s="141">
        <f t="shared" si="5"/>
        <v>131.69</v>
      </c>
      <c r="U15" s="141">
        <f t="shared" si="5"/>
        <v>4458.0349999999999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f>'[5]July 2023'!H16</f>
        <v>759.22400000000039</v>
      </c>
      <c r="D16" s="139">
        <v>1.76</v>
      </c>
      <c r="E16" s="139">
        <f>'[5]July 2023'!E16+'[5]Aug 2023'!D16</f>
        <v>9.0499999999999989</v>
      </c>
      <c r="F16" s="139">
        <v>2.2999999999999998</v>
      </c>
      <c r="G16" s="139">
        <f>'[5]July 2023'!G16+'[5]Aug 2023'!F16</f>
        <v>6.53</v>
      </c>
      <c r="H16" s="139">
        <f t="shared" si="0"/>
        <v>758.68400000000042</v>
      </c>
      <c r="I16" s="139">
        <f>'[5]July 2023'!N16</f>
        <v>580.56600000000026</v>
      </c>
      <c r="J16" s="139">
        <v>2.31</v>
      </c>
      <c r="K16" s="139">
        <f>'[5]July 2023'!K16+'[5]Aug 2023'!J16</f>
        <v>5.9</v>
      </c>
      <c r="L16" s="139">
        <v>0</v>
      </c>
      <c r="M16" s="139">
        <f>'[5]July 2023'!M16+'[5]Aug 2023'!L16</f>
        <v>0</v>
      </c>
      <c r="N16" s="139">
        <f t="shared" si="1"/>
        <v>582.8760000000002</v>
      </c>
      <c r="O16" s="139">
        <f>'[5]July 2023'!T16</f>
        <v>146.69200000000004</v>
      </c>
      <c r="P16" s="139">
        <v>0</v>
      </c>
      <c r="Q16" s="139">
        <f>'[5]July 2023'!Q16+'[5]Aug 2023'!P16</f>
        <v>0.08</v>
      </c>
      <c r="R16" s="139">
        <v>32.6</v>
      </c>
      <c r="S16" s="139">
        <f>'[5]July 2023'!S16+'[5]Aug 2023'!R16</f>
        <v>63.430000000000007</v>
      </c>
      <c r="T16" s="139">
        <f t="shared" si="2"/>
        <v>114.09200000000004</v>
      </c>
      <c r="U16" s="139">
        <f t="shared" si="3"/>
        <v>1455.6520000000007</v>
      </c>
    </row>
    <row r="17" spans="1:21" ht="38.25" customHeight="1" x14ac:dyDescent="0.35">
      <c r="A17" s="171">
        <v>9</v>
      </c>
      <c r="B17" s="172" t="s">
        <v>120</v>
      </c>
      <c r="C17" s="139">
        <f>'[5]July 2023'!H17</f>
        <v>2.7259999999999476</v>
      </c>
      <c r="D17" s="139">
        <v>0</v>
      </c>
      <c r="E17" s="139">
        <f>'[5]July 2023'!E17+'[5]Aug 2023'!D17</f>
        <v>0.05</v>
      </c>
      <c r="F17" s="139">
        <v>0</v>
      </c>
      <c r="G17" s="139">
        <f>'[5]July 2023'!G17+'[5]Aug 2023'!F17</f>
        <v>0</v>
      </c>
      <c r="H17" s="139">
        <f t="shared" si="0"/>
        <v>2.7259999999999476</v>
      </c>
      <c r="I17" s="139">
        <f>'[5]July 2023'!N17</f>
        <v>602.07000000000005</v>
      </c>
      <c r="J17" s="139">
        <v>2.64</v>
      </c>
      <c r="K17" s="139">
        <f>'[5]July 2023'!K17+'[5]Aug 2023'!J17</f>
        <v>16.02</v>
      </c>
      <c r="L17" s="139">
        <v>0</v>
      </c>
      <c r="M17" s="139">
        <f>'[5]July 2023'!M17+'[5]Aug 2023'!L17</f>
        <v>0.43</v>
      </c>
      <c r="N17" s="139">
        <f t="shared" si="1"/>
        <v>604.71</v>
      </c>
      <c r="O17" s="139">
        <f>'[5]July 2023'!T17</f>
        <v>2.7399999999999998</v>
      </c>
      <c r="P17" s="139">
        <v>0</v>
      </c>
      <c r="Q17" s="139">
        <f>'[5]July 2023'!Q17+'[5]Aug 2023'!P17</f>
        <v>1.22</v>
      </c>
      <c r="R17" s="139">
        <v>1.2</v>
      </c>
      <c r="S17" s="139">
        <f>'[5]July 2023'!S17+'[5]Aug 2023'!R17</f>
        <v>1.63</v>
      </c>
      <c r="T17" s="139">
        <f t="shared" si="2"/>
        <v>1.5399999999999998</v>
      </c>
      <c r="U17" s="139">
        <f t="shared" si="3"/>
        <v>608.976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f>'[5]July 2023'!H18</f>
        <v>90.266000000000147</v>
      </c>
      <c r="D18" s="139">
        <v>0</v>
      </c>
      <c r="E18" s="139">
        <f>'[5]July 2023'!E18+'[5]Aug 2023'!D18</f>
        <v>0.05</v>
      </c>
      <c r="F18" s="139">
        <v>0</v>
      </c>
      <c r="G18" s="139">
        <f>'[5]July 2023'!G18+'[5]Aug 2023'!F18</f>
        <v>0.05</v>
      </c>
      <c r="H18" s="139">
        <f t="shared" si="0"/>
        <v>90.266000000000147</v>
      </c>
      <c r="I18" s="139">
        <f>'[5]July 2023'!N18</f>
        <v>621.85</v>
      </c>
      <c r="J18" s="139">
        <v>1.36</v>
      </c>
      <c r="K18" s="139">
        <f>'[5]July 2023'!K18+'[5]Aug 2023'!J18</f>
        <v>5.915</v>
      </c>
      <c r="L18" s="139">
        <v>0</v>
      </c>
      <c r="M18" s="139">
        <f>'[5]July 2023'!M18+'[5]Aug 2023'!L18</f>
        <v>0</v>
      </c>
      <c r="N18" s="139">
        <f t="shared" si="1"/>
        <v>623.21</v>
      </c>
      <c r="O18" s="139">
        <f>'[5]July 2023'!T18</f>
        <v>35.689999999999991</v>
      </c>
      <c r="P18" s="139">
        <v>0</v>
      </c>
      <c r="Q18" s="139">
        <f>'[5]July 2023'!Q18+'[5]Aug 2023'!P18</f>
        <v>0</v>
      </c>
      <c r="R18" s="139">
        <v>0</v>
      </c>
      <c r="S18" s="139">
        <f>'[5]July 2023'!S18+'[5]Aug 2023'!R18</f>
        <v>0</v>
      </c>
      <c r="T18" s="139">
        <f t="shared" si="2"/>
        <v>35.689999999999991</v>
      </c>
      <c r="U18" s="139">
        <f t="shared" si="3"/>
        <v>749.16600000000017</v>
      </c>
    </row>
    <row r="19" spans="1:21" s="111" customFormat="1" ht="38.25" customHeight="1" x14ac:dyDescent="0.4">
      <c r="A19" s="238" t="s">
        <v>89</v>
      </c>
      <c r="B19" s="239"/>
      <c r="C19" s="141">
        <f>SUM(C16:C18)</f>
        <v>852.21600000000058</v>
      </c>
      <c r="D19" s="141">
        <f t="shared" ref="D19:U19" si="6">SUM(D16:D18)</f>
        <v>1.76</v>
      </c>
      <c r="E19" s="141">
        <f t="shared" si="6"/>
        <v>9.15</v>
      </c>
      <c r="F19" s="141">
        <f t="shared" si="6"/>
        <v>2.2999999999999998</v>
      </c>
      <c r="G19" s="141">
        <f t="shared" si="6"/>
        <v>6.58</v>
      </c>
      <c r="H19" s="141">
        <f t="shared" si="6"/>
        <v>851.67600000000061</v>
      </c>
      <c r="I19" s="141">
        <f t="shared" si="6"/>
        <v>1804.4860000000003</v>
      </c>
      <c r="J19" s="141">
        <f t="shared" si="6"/>
        <v>6.3100000000000005</v>
      </c>
      <c r="K19" s="141">
        <f t="shared" si="6"/>
        <v>27.835000000000001</v>
      </c>
      <c r="L19" s="141">
        <f t="shared" si="6"/>
        <v>0</v>
      </c>
      <c r="M19" s="141">
        <f t="shared" si="6"/>
        <v>0.43</v>
      </c>
      <c r="N19" s="141">
        <f t="shared" si="6"/>
        <v>1810.7960000000003</v>
      </c>
      <c r="O19" s="141">
        <f t="shared" si="6"/>
        <v>185.12200000000004</v>
      </c>
      <c r="P19" s="141">
        <f t="shared" si="6"/>
        <v>0</v>
      </c>
      <c r="Q19" s="141">
        <f t="shared" si="6"/>
        <v>1.3</v>
      </c>
      <c r="R19" s="141">
        <f t="shared" si="6"/>
        <v>33.800000000000004</v>
      </c>
      <c r="S19" s="141">
        <f t="shared" si="6"/>
        <v>65.06</v>
      </c>
      <c r="T19" s="141">
        <f t="shared" si="6"/>
        <v>151.32200000000003</v>
      </c>
      <c r="U19" s="141">
        <f t="shared" si="6"/>
        <v>2813.7940000000008</v>
      </c>
    </row>
    <row r="20" spans="1:21" ht="38.25" customHeight="1" x14ac:dyDescent="0.35">
      <c r="A20" s="171">
        <v>8</v>
      </c>
      <c r="B20" s="172" t="s">
        <v>91</v>
      </c>
      <c r="C20" s="139">
        <f>'[5]July 2023'!H20</f>
        <v>607.42999999999984</v>
      </c>
      <c r="D20" s="139">
        <v>0</v>
      </c>
      <c r="E20" s="139">
        <f>'[5]July 2023'!E20+'[5]Aug 2023'!D20</f>
        <v>0</v>
      </c>
      <c r="F20" s="139">
        <v>0</v>
      </c>
      <c r="G20" s="139">
        <f>'[5]July 2023'!G20+'[5]Aug 2023'!F20</f>
        <v>0</v>
      </c>
      <c r="H20" s="139">
        <f t="shared" si="0"/>
        <v>607.42999999999984</v>
      </c>
      <c r="I20" s="139">
        <f>'[5]July 2023'!N20</f>
        <v>756.99800000000016</v>
      </c>
      <c r="J20" s="139">
        <v>2.19</v>
      </c>
      <c r="K20" s="139">
        <f>'[5]July 2023'!K20+'[5]Aug 2023'!J20</f>
        <v>10.799999999999999</v>
      </c>
      <c r="L20" s="139">
        <v>0</v>
      </c>
      <c r="M20" s="139">
        <f>'[5]July 2023'!M20+'[5]Aug 2023'!L20</f>
        <v>0.02</v>
      </c>
      <c r="N20" s="139">
        <f t="shared" si="1"/>
        <v>759.18800000000022</v>
      </c>
      <c r="O20" s="139">
        <f>'[5]July 2023'!T20</f>
        <v>37.580000000000005</v>
      </c>
      <c r="P20" s="139">
        <v>0</v>
      </c>
      <c r="Q20" s="139">
        <f>'[5]July 2023'!Q20+'[5]Aug 2023'!P20</f>
        <v>0</v>
      </c>
      <c r="R20" s="139">
        <v>0</v>
      </c>
      <c r="S20" s="139">
        <f>'[5]July 2023'!S20+'[5]Aug 2023'!R20</f>
        <v>0</v>
      </c>
      <c r="T20" s="139">
        <f t="shared" si="2"/>
        <v>37.580000000000005</v>
      </c>
      <c r="U20" s="139">
        <f t="shared" si="3"/>
        <v>1404.1979999999999</v>
      </c>
    </row>
    <row r="21" spans="1:21" ht="38.25" customHeight="1" x14ac:dyDescent="0.35">
      <c r="A21" s="171">
        <v>9</v>
      </c>
      <c r="B21" s="172" t="s">
        <v>90</v>
      </c>
      <c r="C21" s="139">
        <f>'[5]July 2023'!H21</f>
        <v>1.2000000000000002</v>
      </c>
      <c r="D21" s="139">
        <v>0</v>
      </c>
      <c r="E21" s="139">
        <f>'[5]July 2023'!E21+'[5]Aug 2023'!D21</f>
        <v>0</v>
      </c>
      <c r="F21" s="139">
        <v>0</v>
      </c>
      <c r="G21" s="139">
        <f>'[5]July 2023'!G21+'[5]Aug 2023'!F21</f>
        <v>0.87</v>
      </c>
      <c r="H21" s="139">
        <f t="shared" si="0"/>
        <v>1.2000000000000002</v>
      </c>
      <c r="I21" s="139">
        <f>'[5]July 2023'!N21</f>
        <v>466.01700000000011</v>
      </c>
      <c r="J21" s="139">
        <v>3.93</v>
      </c>
      <c r="K21" s="139">
        <f>'[5]July 2023'!K21+'[5]Aug 2023'!J21</f>
        <v>8.5400000000000009</v>
      </c>
      <c r="L21" s="139">
        <v>0</v>
      </c>
      <c r="M21" s="139">
        <f>'[5]July 2023'!M21+'[5]Aug 2023'!L21</f>
        <v>0.02</v>
      </c>
      <c r="N21" s="139">
        <f t="shared" si="1"/>
        <v>469.94700000000012</v>
      </c>
      <c r="O21" s="139">
        <f>'[5]July 2023'!T21</f>
        <v>2.649999999999995</v>
      </c>
      <c r="P21" s="139">
        <v>0</v>
      </c>
      <c r="Q21" s="139">
        <f>'[5]July 2023'!Q21+'[5]Aug 2023'!P21</f>
        <v>0</v>
      </c>
      <c r="R21" s="139">
        <v>0</v>
      </c>
      <c r="S21" s="139">
        <f>'[5]July 2023'!S21+'[5]Aug 2023'!R21</f>
        <v>16.239999999999998</v>
      </c>
      <c r="T21" s="139">
        <f t="shared" si="2"/>
        <v>2.649999999999995</v>
      </c>
      <c r="U21" s="139">
        <f t="shared" si="3"/>
        <v>473.79700000000008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f>'[5]July 2023'!H22</f>
        <v>22.430000000000021</v>
      </c>
      <c r="D22" s="139">
        <v>0</v>
      </c>
      <c r="E22" s="139">
        <f>'[5]July 2023'!E22+'[5]Aug 2023'!D22</f>
        <v>0</v>
      </c>
      <c r="F22" s="139">
        <v>0</v>
      </c>
      <c r="G22" s="139">
        <f>'[5]July 2023'!G22+'[5]Aug 2023'!F22</f>
        <v>0</v>
      </c>
      <c r="H22" s="139">
        <f t="shared" si="0"/>
        <v>22.430000000000021</v>
      </c>
      <c r="I22" s="139">
        <f>'[5]July 2023'!N22</f>
        <v>699.96</v>
      </c>
      <c r="J22" s="139">
        <v>0.62</v>
      </c>
      <c r="K22" s="139">
        <f>'[5]July 2023'!K22+'[5]Aug 2023'!J22</f>
        <v>2.3600000000000003</v>
      </c>
      <c r="L22" s="139">
        <v>0</v>
      </c>
      <c r="M22" s="139">
        <f>'[5]July 2023'!M22+'[5]Aug 2023'!L22</f>
        <v>0</v>
      </c>
      <c r="N22" s="139">
        <f t="shared" si="1"/>
        <v>700.58</v>
      </c>
      <c r="O22" s="139">
        <f>'[5]July 2023'!T22</f>
        <v>0.60000000000000098</v>
      </c>
      <c r="P22" s="139">
        <v>0</v>
      </c>
      <c r="Q22" s="139">
        <f>'[5]July 2023'!Q22+'[5]Aug 2023'!P22</f>
        <v>0</v>
      </c>
      <c r="R22" s="139">
        <v>0</v>
      </c>
      <c r="S22" s="139">
        <f>'[5]July 2023'!S22+'[5]Aug 2023'!R22</f>
        <v>0</v>
      </c>
      <c r="T22" s="139">
        <f t="shared" si="2"/>
        <v>0.60000000000000098</v>
      </c>
      <c r="U22" s="139">
        <f t="shared" si="3"/>
        <v>723.61000000000013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f>'[5]July 2023'!H23</f>
        <v>432.16999999999996</v>
      </c>
      <c r="D23" s="139">
        <v>0</v>
      </c>
      <c r="E23" s="139">
        <f>'[5]July 2023'!E23+'[5]Aug 2023'!D23</f>
        <v>1.53</v>
      </c>
      <c r="F23" s="139">
        <v>0</v>
      </c>
      <c r="G23" s="139">
        <f>'[5]July 2023'!G23+'[5]Aug 2023'!F23</f>
        <v>0</v>
      </c>
      <c r="H23" s="139">
        <f t="shared" si="0"/>
        <v>432.16999999999996</v>
      </c>
      <c r="I23" s="139">
        <f>'[5]July 2023'!N23</f>
        <v>143.62499999999997</v>
      </c>
      <c r="J23" s="139">
        <v>1.1599999999999999</v>
      </c>
      <c r="K23" s="139">
        <f>'[5]July 2023'!K23+'[5]Aug 2023'!J23</f>
        <v>5.23</v>
      </c>
      <c r="L23" s="139">
        <v>0</v>
      </c>
      <c r="M23" s="139">
        <f>'[5]July 2023'!M23+'[5]Aug 2023'!L23</f>
        <v>0</v>
      </c>
      <c r="N23" s="139">
        <f t="shared" si="1"/>
        <v>144.78499999999997</v>
      </c>
      <c r="O23" s="139">
        <f>'[5]July 2023'!T23</f>
        <v>22.5</v>
      </c>
      <c r="P23" s="139">
        <v>0</v>
      </c>
      <c r="Q23" s="139">
        <f>'[5]July 2023'!Q23+'[5]Aug 2023'!P23</f>
        <v>0</v>
      </c>
      <c r="R23" s="139">
        <v>0</v>
      </c>
      <c r="S23" s="139">
        <f>'[5]July 2023'!S23+'[5]Aug 2023'!R23</f>
        <v>0</v>
      </c>
      <c r="T23" s="139">
        <f t="shared" si="2"/>
        <v>22.5</v>
      </c>
      <c r="U23" s="139">
        <f t="shared" si="3"/>
        <v>599.45499999999993</v>
      </c>
    </row>
    <row r="24" spans="1:21" s="111" customFormat="1" ht="38.25" customHeight="1" x14ac:dyDescent="0.4">
      <c r="A24" s="240" t="s">
        <v>94</v>
      </c>
      <c r="B24" s="240"/>
      <c r="C24" s="141">
        <f>SUM(C20:C23)</f>
        <v>1063.23</v>
      </c>
      <c r="D24" s="141">
        <f t="shared" ref="D24:U24" si="7">SUM(D20:D23)</f>
        <v>0</v>
      </c>
      <c r="E24" s="141">
        <f t="shared" si="7"/>
        <v>1.53</v>
      </c>
      <c r="F24" s="141">
        <f t="shared" si="7"/>
        <v>0</v>
      </c>
      <c r="G24" s="141">
        <f t="shared" si="7"/>
        <v>0.87</v>
      </c>
      <c r="H24" s="141">
        <f t="shared" si="7"/>
        <v>1063.23</v>
      </c>
      <c r="I24" s="141">
        <f t="shared" si="7"/>
        <v>2066.6000000000004</v>
      </c>
      <c r="J24" s="141">
        <f t="shared" si="7"/>
        <v>7.9</v>
      </c>
      <c r="K24" s="141">
        <f t="shared" si="7"/>
        <v>26.93</v>
      </c>
      <c r="L24" s="141">
        <f t="shared" si="7"/>
        <v>0</v>
      </c>
      <c r="M24" s="141">
        <f t="shared" si="7"/>
        <v>0.04</v>
      </c>
      <c r="N24" s="141">
        <f t="shared" si="7"/>
        <v>2074.5</v>
      </c>
      <c r="O24" s="141">
        <f t="shared" si="7"/>
        <v>63.330000000000005</v>
      </c>
      <c r="P24" s="141">
        <f t="shared" si="7"/>
        <v>0</v>
      </c>
      <c r="Q24" s="141">
        <f t="shared" si="7"/>
        <v>0</v>
      </c>
      <c r="R24" s="141">
        <f t="shared" si="7"/>
        <v>0</v>
      </c>
      <c r="S24" s="141">
        <f t="shared" si="7"/>
        <v>16.239999999999998</v>
      </c>
      <c r="T24" s="141">
        <f t="shared" si="7"/>
        <v>63.330000000000005</v>
      </c>
      <c r="U24" s="141">
        <f t="shared" si="7"/>
        <v>3201.06</v>
      </c>
    </row>
    <row r="25" spans="1:21" s="145" customFormat="1" ht="38.25" customHeight="1" x14ac:dyDescent="0.4">
      <c r="A25" s="241" t="s">
        <v>95</v>
      </c>
      <c r="B25" s="242"/>
      <c r="C25" s="141">
        <f>C24+C19+C15+C11</f>
        <v>3948.6259999999993</v>
      </c>
      <c r="D25" s="141">
        <f t="shared" ref="D25:U25" si="8">D24+D19+D15+D11</f>
        <v>1.76</v>
      </c>
      <c r="E25" s="141">
        <f t="shared" si="8"/>
        <v>10.68</v>
      </c>
      <c r="F25" s="141">
        <f t="shared" si="8"/>
        <v>2.2999999999999998</v>
      </c>
      <c r="G25" s="141">
        <f t="shared" si="8"/>
        <v>7.45</v>
      </c>
      <c r="H25" s="141">
        <f t="shared" si="8"/>
        <v>3948.0859999999993</v>
      </c>
      <c r="I25" s="141">
        <f t="shared" si="8"/>
        <v>9096.4830000000002</v>
      </c>
      <c r="J25" s="141">
        <f t="shared" si="8"/>
        <v>62.714999999999996</v>
      </c>
      <c r="K25" s="141">
        <f t="shared" si="8"/>
        <v>222.37800000000001</v>
      </c>
      <c r="L25" s="141">
        <f t="shared" si="8"/>
        <v>0</v>
      </c>
      <c r="M25" s="141">
        <f t="shared" si="8"/>
        <v>0.47</v>
      </c>
      <c r="N25" s="141">
        <f t="shared" si="8"/>
        <v>9159.1980000000003</v>
      </c>
      <c r="O25" s="141">
        <f t="shared" si="8"/>
        <v>499.80800000000005</v>
      </c>
      <c r="P25" s="141">
        <f t="shared" si="8"/>
        <v>0</v>
      </c>
      <c r="Q25" s="141">
        <f t="shared" si="8"/>
        <v>1.3</v>
      </c>
      <c r="R25" s="141">
        <f t="shared" si="8"/>
        <v>33.800000000000004</v>
      </c>
      <c r="S25" s="141">
        <f t="shared" si="8"/>
        <v>81.3</v>
      </c>
      <c r="T25" s="141">
        <f t="shared" si="8"/>
        <v>466.00800000000004</v>
      </c>
      <c r="U25" s="141">
        <f t="shared" si="8"/>
        <v>13573.292000000001</v>
      </c>
    </row>
    <row r="26" spans="1:21" ht="38.25" customHeight="1" x14ac:dyDescent="0.35">
      <c r="A26" s="171">
        <v>15</v>
      </c>
      <c r="B26" s="172" t="s">
        <v>96</v>
      </c>
      <c r="C26" s="139">
        <f>'[5]July 2023'!H26</f>
        <v>1645.95</v>
      </c>
      <c r="D26" s="139">
        <v>8.3800000000000008</v>
      </c>
      <c r="E26" s="139">
        <f>'[5]July 2023'!E26+'[5]Aug 2023'!D26</f>
        <v>26.04</v>
      </c>
      <c r="F26" s="139">
        <v>0</v>
      </c>
      <c r="G26" s="139">
        <f>'[5]July 2023'!G26+'[5]Aug 2023'!F26</f>
        <v>0</v>
      </c>
      <c r="H26" s="139">
        <f t="shared" si="0"/>
        <v>1654.3300000000002</v>
      </c>
      <c r="I26" s="139">
        <f>'[5]July 2023'!N26</f>
        <v>122.49000000000001</v>
      </c>
      <c r="J26" s="139">
        <v>0.21</v>
      </c>
      <c r="K26" s="139">
        <f>'[5]July 2023'!K26+'[5]Aug 2023'!J26</f>
        <v>1.1500000000000001</v>
      </c>
      <c r="L26" s="139">
        <v>0</v>
      </c>
      <c r="M26" s="139">
        <f>'[5]July 2023'!M26+'[5]Aug 2023'!L26</f>
        <v>0</v>
      </c>
      <c r="N26" s="139">
        <f t="shared" si="1"/>
        <v>122.7</v>
      </c>
      <c r="O26" s="139">
        <f>'[5]July 2023'!T26</f>
        <v>16.489999999999998</v>
      </c>
      <c r="P26" s="139">
        <v>0</v>
      </c>
      <c r="Q26" s="139">
        <f>'[5]July 2023'!Q26+'[5]Aug 2023'!P26</f>
        <v>0.12</v>
      </c>
      <c r="R26" s="139">
        <v>0</v>
      </c>
      <c r="S26" s="139">
        <f>'[5]July 2023'!S26+'[5]Aug 2023'!R26</f>
        <v>0</v>
      </c>
      <c r="T26" s="139">
        <f t="shared" si="2"/>
        <v>16.489999999999998</v>
      </c>
      <c r="U26" s="139">
        <f t="shared" si="3"/>
        <v>1793.5200000000002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f>'[5]July 2023'!H27</f>
        <v>5718.0250000000042</v>
      </c>
      <c r="D27" s="139">
        <v>5.86</v>
      </c>
      <c r="E27" s="139">
        <f>'[5]July 2023'!E27+'[5]Aug 2023'!D27</f>
        <v>38.53</v>
      </c>
      <c r="F27" s="139">
        <v>0</v>
      </c>
      <c r="G27" s="139">
        <f>'[5]July 2023'!G27+'[5]Aug 2023'!F27</f>
        <v>0.02</v>
      </c>
      <c r="H27" s="139">
        <f t="shared" si="0"/>
        <v>5723.8850000000039</v>
      </c>
      <c r="I27" s="139">
        <f>'[5]July 2023'!N27</f>
        <v>641.1579999999999</v>
      </c>
      <c r="J27" s="139">
        <v>2.63</v>
      </c>
      <c r="K27" s="139">
        <f>'[5]July 2023'!K27+'[5]Aug 2023'!J27</f>
        <v>9.629999999999999</v>
      </c>
      <c r="L27" s="139">
        <v>0</v>
      </c>
      <c r="M27" s="139">
        <f>'[5]July 2023'!M27+'[5]Aug 2023'!L27</f>
        <v>0.02</v>
      </c>
      <c r="N27" s="139">
        <f t="shared" si="1"/>
        <v>643.7879999999999</v>
      </c>
      <c r="O27" s="139">
        <f>'[5]July 2023'!T27</f>
        <v>33.85</v>
      </c>
      <c r="P27" s="139">
        <v>0</v>
      </c>
      <c r="Q27" s="139">
        <f>'[5]July 2023'!Q27+'[5]Aug 2023'!P27</f>
        <v>0.05</v>
      </c>
      <c r="R27" s="139">
        <v>0</v>
      </c>
      <c r="S27" s="139">
        <f>'[5]July 2023'!S27+'[5]Aug 2023'!R27</f>
        <v>0</v>
      </c>
      <c r="T27" s="139">
        <f t="shared" si="2"/>
        <v>33.85</v>
      </c>
      <c r="U27" s="139">
        <f t="shared" si="3"/>
        <v>6401.5230000000038</v>
      </c>
    </row>
    <row r="28" spans="1:21" s="111" customFormat="1" ht="38.25" customHeight="1" x14ac:dyDescent="0.4">
      <c r="A28" s="240" t="s">
        <v>98</v>
      </c>
      <c r="B28" s="240"/>
      <c r="C28" s="141">
        <f>SUM(C26:C27)</f>
        <v>7363.975000000004</v>
      </c>
      <c r="D28" s="141">
        <f t="shared" ref="D28:U28" si="9">SUM(D26:D27)</f>
        <v>14.240000000000002</v>
      </c>
      <c r="E28" s="141">
        <f t="shared" si="9"/>
        <v>64.569999999999993</v>
      </c>
      <c r="F28" s="141">
        <f t="shared" si="9"/>
        <v>0</v>
      </c>
      <c r="G28" s="141">
        <f t="shared" si="9"/>
        <v>0.02</v>
      </c>
      <c r="H28" s="141">
        <f t="shared" si="9"/>
        <v>7378.2150000000038</v>
      </c>
      <c r="I28" s="141">
        <f t="shared" si="9"/>
        <v>763.64799999999991</v>
      </c>
      <c r="J28" s="141">
        <f t="shared" si="9"/>
        <v>2.84</v>
      </c>
      <c r="K28" s="141">
        <f t="shared" si="9"/>
        <v>10.78</v>
      </c>
      <c r="L28" s="141">
        <f t="shared" si="9"/>
        <v>0</v>
      </c>
      <c r="M28" s="141">
        <f t="shared" si="9"/>
        <v>0.02</v>
      </c>
      <c r="N28" s="141">
        <f t="shared" si="9"/>
        <v>766.48799999999994</v>
      </c>
      <c r="O28" s="141">
        <f t="shared" si="9"/>
        <v>50.34</v>
      </c>
      <c r="P28" s="141">
        <f t="shared" si="9"/>
        <v>0</v>
      </c>
      <c r="Q28" s="141">
        <f t="shared" si="9"/>
        <v>0.16999999999999998</v>
      </c>
      <c r="R28" s="141">
        <f t="shared" si="9"/>
        <v>0</v>
      </c>
      <c r="S28" s="141">
        <f t="shared" si="9"/>
        <v>0</v>
      </c>
      <c r="T28" s="141">
        <f t="shared" si="9"/>
        <v>50.34</v>
      </c>
      <c r="U28" s="141">
        <f t="shared" si="9"/>
        <v>8195.0430000000033</v>
      </c>
    </row>
    <row r="29" spans="1:21" ht="38.25" customHeight="1" x14ac:dyDescent="0.35">
      <c r="A29" s="171">
        <v>17</v>
      </c>
      <c r="B29" s="172" t="s">
        <v>99</v>
      </c>
      <c r="C29" s="139">
        <f>'[5]July 2023'!H29</f>
        <v>5012.0980000000009</v>
      </c>
      <c r="D29" s="139">
        <v>2.61</v>
      </c>
      <c r="E29" s="139">
        <f>'[5]July 2023'!E29+'[5]Aug 2023'!D29</f>
        <v>133.67000000000002</v>
      </c>
      <c r="F29" s="139">
        <v>0</v>
      </c>
      <c r="G29" s="139">
        <f>'[5]July 2023'!G29+'[5]Aug 2023'!F29</f>
        <v>0</v>
      </c>
      <c r="H29" s="139">
        <f t="shared" si="0"/>
        <v>5014.7080000000005</v>
      </c>
      <c r="I29" s="139">
        <f>'[5]July 2023'!N29</f>
        <v>122.79000000000002</v>
      </c>
      <c r="J29" s="139">
        <v>0.22</v>
      </c>
      <c r="K29" s="139">
        <f>'[5]July 2023'!K29+'[5]Aug 2023'!J29</f>
        <v>1.48</v>
      </c>
      <c r="L29" s="139">
        <v>0</v>
      </c>
      <c r="M29" s="139">
        <f>'[5]July 2023'!M29+'[5]Aug 2023'!L29</f>
        <v>0</v>
      </c>
      <c r="N29" s="139">
        <f t="shared" si="1"/>
        <v>123.01000000000002</v>
      </c>
      <c r="O29" s="139">
        <f>'[5]July 2023'!T29</f>
        <v>34.52000000000001</v>
      </c>
      <c r="P29" s="139">
        <v>0</v>
      </c>
      <c r="Q29" s="139">
        <f>'[5]July 2023'!Q29+'[5]Aug 2023'!P29</f>
        <v>0</v>
      </c>
      <c r="R29" s="139">
        <v>0</v>
      </c>
      <c r="S29" s="139">
        <f>'[5]July 2023'!S29+'[5]Aug 2023'!R29</f>
        <v>0</v>
      </c>
      <c r="T29" s="139">
        <f t="shared" si="2"/>
        <v>34.52000000000001</v>
      </c>
      <c r="U29" s="139">
        <f t="shared" si="3"/>
        <v>5172.2380000000012</v>
      </c>
    </row>
    <row r="30" spans="1:21" ht="38.25" customHeight="1" x14ac:dyDescent="0.35">
      <c r="A30" s="171">
        <v>18</v>
      </c>
      <c r="B30" s="172" t="s">
        <v>100</v>
      </c>
      <c r="C30" s="139">
        <f>'[5]July 2023'!H30</f>
        <v>3725.2299999999991</v>
      </c>
      <c r="D30" s="139">
        <v>13.57</v>
      </c>
      <c r="E30" s="139">
        <f>'[5]July 2023'!E30+'[5]Aug 2023'!D30</f>
        <v>36.650000000000006</v>
      </c>
      <c r="F30" s="139">
        <v>0</v>
      </c>
      <c r="G30" s="139">
        <f>'[5]July 2023'!G30+'[5]Aug 2023'!F30</f>
        <v>0</v>
      </c>
      <c r="H30" s="139">
        <f t="shared" si="0"/>
        <v>3738.7999999999993</v>
      </c>
      <c r="I30" s="139">
        <f>'[5]July 2023'!N30</f>
        <v>232.36699999999999</v>
      </c>
      <c r="J30" s="139">
        <v>0</v>
      </c>
      <c r="K30" s="139">
        <f>'[5]July 2023'!K30+'[5]Aug 2023'!J30</f>
        <v>33.78</v>
      </c>
      <c r="L30" s="139">
        <v>0</v>
      </c>
      <c r="M30" s="139">
        <f>'[5]July 2023'!M30+'[5]Aug 2023'!L30</f>
        <v>0</v>
      </c>
      <c r="N30" s="139">
        <f t="shared" si="1"/>
        <v>232.36699999999999</v>
      </c>
      <c r="O30" s="139">
        <f>'[5]July 2023'!T30</f>
        <v>23.25</v>
      </c>
      <c r="P30" s="139">
        <v>0</v>
      </c>
      <c r="Q30" s="139">
        <f>'[5]July 2023'!Q30+'[5]Aug 2023'!P30</f>
        <v>0</v>
      </c>
      <c r="R30" s="139">
        <v>0</v>
      </c>
      <c r="S30" s="139">
        <f>'[5]July 2023'!S30+'[5]Aug 2023'!R30</f>
        <v>0</v>
      </c>
      <c r="T30" s="139">
        <f t="shared" si="2"/>
        <v>23.25</v>
      </c>
      <c r="U30" s="139">
        <f t="shared" si="3"/>
        <v>3994.4169999999995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f>'[5]July 2023'!H31</f>
        <v>4709.9790000000012</v>
      </c>
      <c r="D31" s="139">
        <v>0.92500000000000004</v>
      </c>
      <c r="E31" s="139">
        <f>'[5]July 2023'!E31+'[5]Aug 2023'!D31</f>
        <v>8.411999999999999</v>
      </c>
      <c r="F31" s="139">
        <v>0</v>
      </c>
      <c r="G31" s="139">
        <f>'[5]July 2023'!G31+'[5]Aug 2023'!F31</f>
        <v>0</v>
      </c>
      <c r="H31" s="139">
        <f t="shared" si="0"/>
        <v>4710.9040000000014</v>
      </c>
      <c r="I31" s="139">
        <f>'[5]July 2023'!N31</f>
        <v>107.89500000000002</v>
      </c>
      <c r="J31" s="139">
        <v>0</v>
      </c>
      <c r="K31" s="139">
        <f>'[5]July 2023'!K31+'[5]Aug 2023'!J31</f>
        <v>0.20499999999999999</v>
      </c>
      <c r="L31" s="139">
        <v>0</v>
      </c>
      <c r="M31" s="139">
        <f>'[5]July 2023'!M31+'[5]Aug 2023'!L31</f>
        <v>0</v>
      </c>
      <c r="N31" s="139">
        <f t="shared" si="1"/>
        <v>107.89500000000002</v>
      </c>
      <c r="O31" s="139">
        <f>'[5]July 2023'!T31</f>
        <v>14.850000000000001</v>
      </c>
      <c r="P31" s="139">
        <v>0</v>
      </c>
      <c r="Q31" s="139">
        <f>'[5]July 2023'!Q31+'[5]Aug 2023'!P31</f>
        <v>0</v>
      </c>
      <c r="R31" s="139">
        <v>0</v>
      </c>
      <c r="S31" s="139">
        <f>'[5]July 2023'!S31+'[5]Aug 2023'!R31</f>
        <v>0</v>
      </c>
      <c r="T31" s="139">
        <f t="shared" si="2"/>
        <v>14.850000000000001</v>
      </c>
      <c r="U31" s="139">
        <f t="shared" si="3"/>
        <v>4833.6490000000022</v>
      </c>
    </row>
    <row r="32" spans="1:21" ht="38.25" customHeight="1" x14ac:dyDescent="0.35">
      <c r="A32" s="171">
        <v>20</v>
      </c>
      <c r="B32" s="172" t="s">
        <v>102</v>
      </c>
      <c r="C32" s="139">
        <f>'[5]July 2023'!H32</f>
        <v>2374.8957999999989</v>
      </c>
      <c r="D32" s="139">
        <v>3.86</v>
      </c>
      <c r="E32" s="139">
        <f>'[5]July 2023'!E32+'[5]Aug 2023'!D32</f>
        <v>14.459999999999999</v>
      </c>
      <c r="F32" s="139">
        <v>0</v>
      </c>
      <c r="G32" s="139">
        <f>'[5]July 2023'!G32+'[5]Aug 2023'!F32</f>
        <v>9.73</v>
      </c>
      <c r="H32" s="139">
        <f t="shared" si="0"/>
        <v>2378.755799999999</v>
      </c>
      <c r="I32" s="139">
        <f>'[5]July 2023'!N32</f>
        <v>99.794000000000025</v>
      </c>
      <c r="J32" s="139">
        <v>7.89</v>
      </c>
      <c r="K32" s="139">
        <f>'[5]July 2023'!K32+'[5]Aug 2023'!J32</f>
        <v>14.507999999999999</v>
      </c>
      <c r="L32" s="139">
        <v>0</v>
      </c>
      <c r="M32" s="139">
        <f>'[5]July 2023'!M32+'[5]Aug 2023'!L32</f>
        <v>0</v>
      </c>
      <c r="N32" s="139">
        <f t="shared" si="1"/>
        <v>107.68400000000003</v>
      </c>
      <c r="O32" s="139">
        <f>'[5]July 2023'!T32</f>
        <v>67.551999999999992</v>
      </c>
      <c r="P32" s="139">
        <v>0</v>
      </c>
      <c r="Q32" s="139">
        <f>'[5]July 2023'!Q32+'[5]Aug 2023'!P32</f>
        <v>0</v>
      </c>
      <c r="R32" s="139">
        <v>0</v>
      </c>
      <c r="S32" s="139">
        <f>'[5]July 2023'!S32+'[5]Aug 2023'!R32</f>
        <v>0</v>
      </c>
      <c r="T32" s="139">
        <f t="shared" si="2"/>
        <v>67.551999999999992</v>
      </c>
      <c r="U32" s="139">
        <f t="shared" si="3"/>
        <v>2553.9917999999993</v>
      </c>
    </row>
    <row r="33" spans="1:21" s="111" customFormat="1" ht="38.25" customHeight="1" x14ac:dyDescent="0.4">
      <c r="A33" s="240" t="s">
        <v>99</v>
      </c>
      <c r="B33" s="240"/>
      <c r="C33" s="141">
        <f>SUM(C29:C32)</f>
        <v>15822.202799999999</v>
      </c>
      <c r="D33" s="141">
        <f t="shared" ref="D33:U33" si="10">SUM(D29:D32)</f>
        <v>20.965</v>
      </c>
      <c r="E33" s="141">
        <f t="shared" si="10"/>
        <v>193.19200000000004</v>
      </c>
      <c r="F33" s="141">
        <f t="shared" si="10"/>
        <v>0</v>
      </c>
      <c r="G33" s="141">
        <f t="shared" si="10"/>
        <v>9.73</v>
      </c>
      <c r="H33" s="141">
        <f t="shared" si="10"/>
        <v>15843.167799999999</v>
      </c>
      <c r="I33" s="141">
        <f t="shared" si="10"/>
        <v>562.84600000000012</v>
      </c>
      <c r="J33" s="141">
        <f t="shared" si="10"/>
        <v>8.11</v>
      </c>
      <c r="K33" s="141">
        <f t="shared" si="10"/>
        <v>49.972999999999999</v>
      </c>
      <c r="L33" s="141">
        <f t="shared" si="10"/>
        <v>0</v>
      </c>
      <c r="M33" s="141">
        <f t="shared" si="10"/>
        <v>0</v>
      </c>
      <c r="N33" s="141">
        <f t="shared" si="10"/>
        <v>570.95600000000013</v>
      </c>
      <c r="O33" s="141">
        <f t="shared" si="10"/>
        <v>140.172</v>
      </c>
      <c r="P33" s="141">
        <f t="shared" si="10"/>
        <v>0</v>
      </c>
      <c r="Q33" s="141">
        <f t="shared" si="10"/>
        <v>0</v>
      </c>
      <c r="R33" s="141">
        <f t="shared" si="10"/>
        <v>0</v>
      </c>
      <c r="S33" s="141">
        <f t="shared" si="10"/>
        <v>0</v>
      </c>
      <c r="T33" s="141">
        <f t="shared" si="10"/>
        <v>140.172</v>
      </c>
      <c r="U33" s="141">
        <f t="shared" si="10"/>
        <v>16554.295800000004</v>
      </c>
    </row>
    <row r="34" spans="1:21" ht="38.25" customHeight="1" x14ac:dyDescent="0.35">
      <c r="A34" s="171">
        <v>21</v>
      </c>
      <c r="B34" s="172" t="s">
        <v>103</v>
      </c>
      <c r="C34" s="139">
        <f>'[5]July 2023'!H34</f>
        <v>4604.8799999999992</v>
      </c>
      <c r="D34" s="139">
        <v>3.66</v>
      </c>
      <c r="E34" s="139">
        <f>'[5]July 2023'!E34+'[5]Aug 2023'!D34</f>
        <v>24.51</v>
      </c>
      <c r="F34" s="139">
        <v>0</v>
      </c>
      <c r="G34" s="139">
        <f>'[5]July 2023'!G34+'[5]Aug 2023'!F34</f>
        <v>2.72</v>
      </c>
      <c r="H34" s="139">
        <f t="shared" si="0"/>
        <v>4608.5399999999991</v>
      </c>
      <c r="I34" s="139">
        <f>'[5]July 2023'!N34</f>
        <v>116.16999999999999</v>
      </c>
      <c r="J34" s="139">
        <v>0</v>
      </c>
      <c r="K34" s="139">
        <f>'[5]July 2023'!K34+'[5]Aug 2023'!J34</f>
        <v>8.09</v>
      </c>
      <c r="L34" s="139">
        <v>0</v>
      </c>
      <c r="M34" s="139">
        <f>'[5]July 2023'!M34+'[5]Aug 2023'!L34</f>
        <v>0</v>
      </c>
      <c r="N34" s="139">
        <f t="shared" si="1"/>
        <v>116.16999999999999</v>
      </c>
      <c r="O34" s="139">
        <f>'[5]July 2023'!T34</f>
        <v>72.7</v>
      </c>
      <c r="P34" s="139">
        <v>0</v>
      </c>
      <c r="Q34" s="139">
        <f>'[5]July 2023'!Q34+'[5]Aug 2023'!P34</f>
        <v>0</v>
      </c>
      <c r="R34" s="139">
        <v>0</v>
      </c>
      <c r="S34" s="139">
        <f>'[5]July 2023'!S34+'[5]Aug 2023'!R34</f>
        <v>0</v>
      </c>
      <c r="T34" s="139">
        <f t="shared" si="2"/>
        <v>72.7</v>
      </c>
      <c r="U34" s="139">
        <f t="shared" si="3"/>
        <v>4797.4099999999989</v>
      </c>
    </row>
    <row r="35" spans="1:21" ht="38.25" customHeight="1" x14ac:dyDescent="0.35">
      <c r="A35" s="171">
        <v>22</v>
      </c>
      <c r="B35" s="172" t="s">
        <v>104</v>
      </c>
      <c r="C35" s="139">
        <f>'[5]July 2023'!H35</f>
        <v>6767.529999999997</v>
      </c>
      <c r="D35" s="139">
        <v>20.39</v>
      </c>
      <c r="E35" s="139">
        <f>'[5]July 2023'!E35+'[5]Aug 2023'!D35</f>
        <v>104.3</v>
      </c>
      <c r="F35" s="139">
        <v>0</v>
      </c>
      <c r="G35" s="139">
        <f>'[5]July 2023'!G35+'[5]Aug 2023'!F35</f>
        <v>0</v>
      </c>
      <c r="H35" s="139">
        <f t="shared" si="0"/>
        <v>6787.9199999999973</v>
      </c>
      <c r="I35" s="139">
        <f>'[5]July 2023'!N35</f>
        <v>34.17</v>
      </c>
      <c r="J35" s="139">
        <v>0</v>
      </c>
      <c r="K35" s="139">
        <f>'[5]July 2023'!K35+'[5]Aug 2023'!J35</f>
        <v>0.04</v>
      </c>
      <c r="L35" s="139">
        <v>0</v>
      </c>
      <c r="M35" s="139">
        <f>'[5]July 2023'!M35+'[5]Aug 2023'!L35</f>
        <v>0</v>
      </c>
      <c r="N35" s="139">
        <f t="shared" si="1"/>
        <v>34.17</v>
      </c>
      <c r="O35" s="139">
        <f>'[5]July 2023'!T35</f>
        <v>90.800000000000011</v>
      </c>
      <c r="P35" s="139">
        <v>0</v>
      </c>
      <c r="Q35" s="139">
        <f>'[5]July 2023'!Q35+'[5]Aug 2023'!P35</f>
        <v>0</v>
      </c>
      <c r="R35" s="139">
        <v>0</v>
      </c>
      <c r="S35" s="139">
        <f>'[5]July 2023'!S35+'[5]Aug 2023'!R35</f>
        <v>0</v>
      </c>
      <c r="T35" s="139">
        <f t="shared" si="2"/>
        <v>90.800000000000011</v>
      </c>
      <c r="U35" s="139">
        <f t="shared" si="3"/>
        <v>6912.8899999999976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f>'[5]July 2023'!H36</f>
        <v>3720.81</v>
      </c>
      <c r="D36" s="139">
        <v>44.61</v>
      </c>
      <c r="E36" s="139">
        <f>'[5]July 2023'!E36+'[5]Aug 2023'!D36</f>
        <v>67.759999999999991</v>
      </c>
      <c r="F36" s="139">
        <v>0</v>
      </c>
      <c r="G36" s="139">
        <f>'[5]July 2023'!G36+'[5]Aug 2023'!F36</f>
        <v>0</v>
      </c>
      <c r="H36" s="139">
        <f t="shared" si="0"/>
        <v>3765.42</v>
      </c>
      <c r="I36" s="139">
        <f>'[5]July 2023'!N36</f>
        <v>30.250000000000039</v>
      </c>
      <c r="J36" s="139">
        <v>0</v>
      </c>
      <c r="K36" s="139">
        <f>'[5]July 2023'!K36+'[5]Aug 2023'!J36</f>
        <v>0</v>
      </c>
      <c r="L36" s="139">
        <v>0</v>
      </c>
      <c r="M36" s="139">
        <f>'[5]July 2023'!M36+'[5]Aug 2023'!L36</f>
        <v>0</v>
      </c>
      <c r="N36" s="139">
        <f t="shared" si="1"/>
        <v>30.250000000000039</v>
      </c>
      <c r="O36" s="139">
        <f>'[5]July 2023'!T36</f>
        <v>36.379999999999995</v>
      </c>
      <c r="P36" s="139">
        <v>0</v>
      </c>
      <c r="Q36" s="139">
        <f>'[5]July 2023'!Q36+'[5]Aug 2023'!P36</f>
        <v>0</v>
      </c>
      <c r="R36" s="139">
        <v>0</v>
      </c>
      <c r="S36" s="139">
        <f>'[5]July 2023'!S36+'[5]Aug 2023'!R36</f>
        <v>0</v>
      </c>
      <c r="T36" s="139">
        <f t="shared" si="2"/>
        <v>36.379999999999995</v>
      </c>
      <c r="U36" s="139">
        <f t="shared" si="3"/>
        <v>3832.05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f>'[5]July 2023'!H37</f>
        <v>5130.5299999999988</v>
      </c>
      <c r="D37" s="139">
        <f>0.46+32.6</f>
        <v>33.06</v>
      </c>
      <c r="E37" s="139">
        <f>'[5]July 2023'!E37+'[5]Aug 2023'!D37</f>
        <v>69.08</v>
      </c>
      <c r="F37" s="139">
        <v>0</v>
      </c>
      <c r="G37" s="139">
        <f>'[5]July 2023'!G37+'[5]Aug 2023'!F37</f>
        <v>0</v>
      </c>
      <c r="H37" s="139">
        <f t="shared" si="0"/>
        <v>5163.5899999999992</v>
      </c>
      <c r="I37" s="139">
        <f>'[5]July 2023'!N37</f>
        <v>26.700000000000003</v>
      </c>
      <c r="J37" s="139">
        <v>0</v>
      </c>
      <c r="K37" s="139">
        <f>'[5]July 2023'!K37+'[5]Aug 2023'!J37</f>
        <v>0</v>
      </c>
      <c r="L37" s="139">
        <v>0</v>
      </c>
      <c r="M37" s="139">
        <f>'[5]July 2023'!M37+'[5]Aug 2023'!L37</f>
        <v>0</v>
      </c>
      <c r="N37" s="139">
        <f t="shared" si="1"/>
        <v>26.700000000000003</v>
      </c>
      <c r="O37" s="139">
        <f>'[5]July 2023'!T37</f>
        <v>3.0599999999999996</v>
      </c>
      <c r="P37" s="139">
        <v>0</v>
      </c>
      <c r="Q37" s="139">
        <f>'[5]July 2023'!Q37+'[5]Aug 2023'!P37</f>
        <v>0</v>
      </c>
      <c r="R37" s="139">
        <v>0</v>
      </c>
      <c r="S37" s="139">
        <f>'[5]July 2023'!S37+'[5]Aug 2023'!R37</f>
        <v>0</v>
      </c>
      <c r="T37" s="139">
        <f t="shared" si="2"/>
        <v>3.0599999999999996</v>
      </c>
      <c r="U37" s="139">
        <f t="shared" si="3"/>
        <v>5193.3499999999995</v>
      </c>
    </row>
    <row r="38" spans="1:21" s="111" customFormat="1" ht="38.25" customHeight="1" x14ac:dyDescent="0.4">
      <c r="A38" s="240" t="s">
        <v>107</v>
      </c>
      <c r="B38" s="240"/>
      <c r="C38" s="141">
        <f>SUM(C34:C37)</f>
        <v>20223.749999999993</v>
      </c>
      <c r="D38" s="141">
        <f t="shared" ref="D38:U38" si="11">SUM(D34:D37)</f>
        <v>101.72</v>
      </c>
      <c r="E38" s="141">
        <f t="shared" si="11"/>
        <v>265.64999999999998</v>
      </c>
      <c r="F38" s="141">
        <f t="shared" si="11"/>
        <v>0</v>
      </c>
      <c r="G38" s="141">
        <f t="shared" si="11"/>
        <v>2.72</v>
      </c>
      <c r="H38" s="141">
        <f t="shared" si="11"/>
        <v>20325.469999999994</v>
      </c>
      <c r="I38" s="141">
        <f t="shared" si="11"/>
        <v>207.29000000000002</v>
      </c>
      <c r="J38" s="141">
        <f t="shared" si="11"/>
        <v>0</v>
      </c>
      <c r="K38" s="141">
        <f t="shared" si="11"/>
        <v>8.129999999999999</v>
      </c>
      <c r="L38" s="141">
        <f t="shared" si="11"/>
        <v>0</v>
      </c>
      <c r="M38" s="141">
        <f t="shared" si="11"/>
        <v>0</v>
      </c>
      <c r="N38" s="141">
        <f t="shared" si="11"/>
        <v>207.29000000000002</v>
      </c>
      <c r="O38" s="141">
        <f t="shared" si="11"/>
        <v>202.94</v>
      </c>
      <c r="P38" s="141">
        <f t="shared" si="11"/>
        <v>0</v>
      </c>
      <c r="Q38" s="141">
        <f t="shared" si="11"/>
        <v>0</v>
      </c>
      <c r="R38" s="141">
        <f t="shared" si="11"/>
        <v>0</v>
      </c>
      <c r="S38" s="141">
        <f t="shared" si="11"/>
        <v>0</v>
      </c>
      <c r="T38" s="141">
        <f t="shared" si="11"/>
        <v>202.94</v>
      </c>
      <c r="U38" s="141">
        <f t="shared" si="11"/>
        <v>20735.699999999993</v>
      </c>
    </row>
    <row r="39" spans="1:21" s="145" customFormat="1" ht="38.25" customHeight="1" x14ac:dyDescent="0.4">
      <c r="A39" s="243" t="s">
        <v>108</v>
      </c>
      <c r="B39" s="243"/>
      <c r="C39" s="141">
        <f>C38+C33+C28</f>
        <v>43409.927799999998</v>
      </c>
      <c r="D39" s="141">
        <f t="shared" ref="D39:U39" si="12">D38+D33+D28</f>
        <v>136.92500000000001</v>
      </c>
      <c r="E39" s="141">
        <f t="shared" si="12"/>
        <v>523.41200000000003</v>
      </c>
      <c r="F39" s="141">
        <f t="shared" si="12"/>
        <v>0</v>
      </c>
      <c r="G39" s="141">
        <f t="shared" si="12"/>
        <v>12.47</v>
      </c>
      <c r="H39" s="141">
        <f t="shared" si="12"/>
        <v>43546.852800000001</v>
      </c>
      <c r="I39" s="141">
        <f t="shared" si="12"/>
        <v>1533.7840000000001</v>
      </c>
      <c r="J39" s="141">
        <f t="shared" si="12"/>
        <v>10.95</v>
      </c>
      <c r="K39" s="141">
        <f t="shared" si="12"/>
        <v>68.882999999999996</v>
      </c>
      <c r="L39" s="141">
        <f t="shared" si="12"/>
        <v>0</v>
      </c>
      <c r="M39" s="141">
        <f t="shared" si="12"/>
        <v>0.02</v>
      </c>
      <c r="N39" s="141">
        <f t="shared" si="12"/>
        <v>1544.7339999999999</v>
      </c>
      <c r="O39" s="141">
        <f t="shared" si="12"/>
        <v>393.452</v>
      </c>
      <c r="P39" s="141">
        <f t="shared" si="12"/>
        <v>0</v>
      </c>
      <c r="Q39" s="141">
        <f t="shared" si="12"/>
        <v>0.16999999999999998</v>
      </c>
      <c r="R39" s="141">
        <f t="shared" si="12"/>
        <v>0</v>
      </c>
      <c r="S39" s="141">
        <f t="shared" si="12"/>
        <v>0</v>
      </c>
      <c r="T39" s="141">
        <f t="shared" si="12"/>
        <v>393.452</v>
      </c>
      <c r="U39" s="141">
        <f t="shared" si="12"/>
        <v>45485.038800000002</v>
      </c>
    </row>
    <row r="40" spans="1:21" ht="38.25" customHeight="1" x14ac:dyDescent="0.35">
      <c r="A40" s="171">
        <v>25</v>
      </c>
      <c r="B40" s="172" t="s">
        <v>109</v>
      </c>
      <c r="C40" s="139">
        <f>'[5]July 2023'!H40</f>
        <v>11904.713999999998</v>
      </c>
      <c r="D40" s="139">
        <v>13.91</v>
      </c>
      <c r="E40" s="139">
        <f>'[5]July 2023'!E40+'[5]Aug 2023'!D40</f>
        <v>61</v>
      </c>
      <c r="F40" s="139">
        <v>0</v>
      </c>
      <c r="G40" s="139">
        <f>'[5]July 2023'!G40+'[5]Aug 2023'!F40</f>
        <v>0</v>
      </c>
      <c r="H40" s="139">
        <f t="shared" si="0"/>
        <v>11918.623999999998</v>
      </c>
      <c r="I40" s="139">
        <f>'[5]July 2023'!N40</f>
        <v>198.73</v>
      </c>
      <c r="J40" s="139">
        <v>0</v>
      </c>
      <c r="K40" s="139">
        <f>'[5]July 2023'!K40+'[5]Aug 2023'!J40</f>
        <v>0</v>
      </c>
      <c r="L40" s="139">
        <v>0</v>
      </c>
      <c r="M40" s="139">
        <f>'[5]July 2023'!M40+'[5]Aug 2023'!L40</f>
        <v>0</v>
      </c>
      <c r="N40" s="139">
        <f t="shared" si="1"/>
        <v>198.73</v>
      </c>
      <c r="O40" s="139">
        <f>'[5]July 2023'!T40</f>
        <v>106.93</v>
      </c>
      <c r="P40" s="139">
        <v>0</v>
      </c>
      <c r="Q40" s="139">
        <f>'[5]July 2023'!Q40+'[5]Aug 2023'!P40</f>
        <v>0</v>
      </c>
      <c r="R40" s="139">
        <v>0</v>
      </c>
      <c r="S40" s="139">
        <f>'[5]July 2023'!S40+'[5]Aug 2023'!R40</f>
        <v>0</v>
      </c>
      <c r="T40" s="139">
        <f t="shared" si="2"/>
        <v>106.93</v>
      </c>
      <c r="U40" s="139">
        <f t="shared" si="3"/>
        <v>12224.283999999998</v>
      </c>
    </row>
    <row r="41" spans="1:21" ht="38.25" customHeight="1" x14ac:dyDescent="0.35">
      <c r="A41" s="171">
        <v>26</v>
      </c>
      <c r="B41" s="172" t="s">
        <v>110</v>
      </c>
      <c r="C41" s="139">
        <f>'[5]July 2023'!H41</f>
        <v>8559.5189999999948</v>
      </c>
      <c r="D41" s="139">
        <v>10.01</v>
      </c>
      <c r="E41" s="139">
        <f>'[5]July 2023'!E41+'[5]Aug 2023'!D41</f>
        <v>122.13000000000001</v>
      </c>
      <c r="F41" s="139">
        <v>0</v>
      </c>
      <c r="G41" s="139">
        <f>'[5]July 2023'!G41+'[5]Aug 2023'!F41</f>
        <v>0</v>
      </c>
      <c r="H41" s="139">
        <f t="shared" si="0"/>
        <v>8569.528999999995</v>
      </c>
      <c r="I41" s="139">
        <f>'[5]July 2023'!N41</f>
        <v>8.67</v>
      </c>
      <c r="J41" s="139">
        <v>0</v>
      </c>
      <c r="K41" s="139">
        <f>'[5]July 2023'!K41+'[5]Aug 2023'!J41</f>
        <v>0</v>
      </c>
      <c r="L41" s="139">
        <v>0</v>
      </c>
      <c r="M41" s="139">
        <f>'[5]July 2023'!M41+'[5]Aug 2023'!L41</f>
        <v>0</v>
      </c>
      <c r="N41" s="139">
        <f t="shared" si="1"/>
        <v>8.67</v>
      </c>
      <c r="O41" s="139">
        <f>'[5]July 2023'!T41</f>
        <v>141.29000000000002</v>
      </c>
      <c r="P41" s="139">
        <v>0</v>
      </c>
      <c r="Q41" s="139">
        <f>'[5]July 2023'!Q41+'[5]Aug 2023'!P41</f>
        <v>0</v>
      </c>
      <c r="R41" s="139">
        <v>0</v>
      </c>
      <c r="S41" s="139">
        <f>'[5]July 2023'!S41+'[5]Aug 2023'!R41</f>
        <v>0</v>
      </c>
      <c r="T41" s="139">
        <f t="shared" si="2"/>
        <v>141.29000000000002</v>
      </c>
      <c r="U41" s="139">
        <f t="shared" si="3"/>
        <v>8719.4889999999959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f>'[5]July 2023'!H42</f>
        <v>14027.812999999996</v>
      </c>
      <c r="D42" s="139">
        <v>14.51</v>
      </c>
      <c r="E42" s="139">
        <f>'[5]July 2023'!E42+'[5]Aug 2023'!D42</f>
        <v>88.65</v>
      </c>
      <c r="F42" s="139">
        <v>0</v>
      </c>
      <c r="G42" s="139">
        <f>'[5]July 2023'!G42+'[5]Aug 2023'!F42</f>
        <v>0</v>
      </c>
      <c r="H42" s="139">
        <f t="shared" si="0"/>
        <v>14042.322999999997</v>
      </c>
      <c r="I42" s="139">
        <f>'[5]July 2023'!N42</f>
        <v>15.62</v>
      </c>
      <c r="J42" s="139">
        <v>0</v>
      </c>
      <c r="K42" s="139">
        <f>'[5]July 2023'!K42+'[5]Aug 2023'!J42</f>
        <v>0</v>
      </c>
      <c r="L42" s="139">
        <v>0</v>
      </c>
      <c r="M42" s="139">
        <f>'[5]July 2023'!M42+'[5]Aug 2023'!L42</f>
        <v>0</v>
      </c>
      <c r="N42" s="139">
        <f t="shared" si="1"/>
        <v>15.62</v>
      </c>
      <c r="O42" s="139">
        <f>'[5]July 2023'!T42</f>
        <v>205.35</v>
      </c>
      <c r="P42" s="139">
        <v>0</v>
      </c>
      <c r="Q42" s="139">
        <f>'[5]July 2023'!Q42+'[5]Aug 2023'!P42</f>
        <v>0</v>
      </c>
      <c r="R42" s="139">
        <v>0</v>
      </c>
      <c r="S42" s="139">
        <f>'[5]July 2023'!S42+'[5]Aug 2023'!R42</f>
        <v>0</v>
      </c>
      <c r="T42" s="139">
        <f t="shared" si="2"/>
        <v>205.35</v>
      </c>
      <c r="U42" s="139">
        <f t="shared" si="3"/>
        <v>14263.292999999998</v>
      </c>
    </row>
    <row r="43" spans="1:21" ht="38.25" customHeight="1" x14ac:dyDescent="0.35">
      <c r="A43" s="171">
        <v>28</v>
      </c>
      <c r="B43" s="172" t="s">
        <v>112</v>
      </c>
      <c r="C43" s="139">
        <f>'[5]July 2023'!H43</f>
        <v>4319.7500000000009</v>
      </c>
      <c r="D43" s="139">
        <v>5.0999999999999996</v>
      </c>
      <c r="E43" s="139">
        <f>'[5]July 2023'!E43+'[5]Aug 2023'!D43</f>
        <v>122.88999999999999</v>
      </c>
      <c r="F43" s="139">
        <v>0</v>
      </c>
      <c r="G43" s="139">
        <f>'[5]July 2023'!G43+'[5]Aug 2023'!F43</f>
        <v>0</v>
      </c>
      <c r="H43" s="139">
        <f t="shared" si="0"/>
        <v>4324.8500000000013</v>
      </c>
      <c r="I43" s="139">
        <f>'[5]July 2023'!N43</f>
        <v>3.5</v>
      </c>
      <c r="J43" s="139">
        <v>0</v>
      </c>
      <c r="K43" s="139">
        <f>'[5]July 2023'!K43+'[5]Aug 2023'!J43</f>
        <v>0</v>
      </c>
      <c r="L43" s="139">
        <v>0</v>
      </c>
      <c r="M43" s="139">
        <f>'[5]July 2023'!M43+'[5]Aug 2023'!L43</f>
        <v>0</v>
      </c>
      <c r="N43" s="139">
        <f t="shared" si="1"/>
        <v>3.5</v>
      </c>
      <c r="O43" s="139">
        <f>'[5]July 2023'!T43</f>
        <v>29.8</v>
      </c>
      <c r="P43" s="139">
        <v>0</v>
      </c>
      <c r="Q43" s="139">
        <f>'[5]July 2023'!Q43+'[5]Aug 2023'!P43</f>
        <v>0</v>
      </c>
      <c r="R43" s="139">
        <v>0</v>
      </c>
      <c r="S43" s="139">
        <f>'[5]July 2023'!S43+'[5]Aug 2023'!R43</f>
        <v>0</v>
      </c>
      <c r="T43" s="139">
        <f t="shared" si="2"/>
        <v>29.8</v>
      </c>
      <c r="U43" s="139">
        <f t="shared" si="3"/>
        <v>4358.1500000000015</v>
      </c>
    </row>
    <row r="44" spans="1:21" s="111" customFormat="1" ht="38.25" customHeight="1" x14ac:dyDescent="0.4">
      <c r="A44" s="240" t="s">
        <v>109</v>
      </c>
      <c r="B44" s="240"/>
      <c r="C44" s="141">
        <f>SUM(C40:C43)</f>
        <v>38811.795999999988</v>
      </c>
      <c r="D44" s="141">
        <f t="shared" ref="D44:U44" si="13">SUM(D40:D43)</f>
        <v>43.53</v>
      </c>
      <c r="E44" s="141">
        <f t="shared" si="13"/>
        <v>394.66999999999996</v>
      </c>
      <c r="F44" s="141">
        <f t="shared" si="13"/>
        <v>0</v>
      </c>
      <c r="G44" s="141">
        <f t="shared" si="13"/>
        <v>0</v>
      </c>
      <c r="H44" s="141">
        <f t="shared" si="13"/>
        <v>38855.325999999986</v>
      </c>
      <c r="I44" s="141">
        <f t="shared" si="13"/>
        <v>226.51999999999998</v>
      </c>
      <c r="J44" s="141">
        <f t="shared" si="13"/>
        <v>0</v>
      </c>
      <c r="K44" s="141">
        <f t="shared" si="13"/>
        <v>0</v>
      </c>
      <c r="L44" s="141">
        <f t="shared" si="13"/>
        <v>0</v>
      </c>
      <c r="M44" s="141">
        <f t="shared" si="13"/>
        <v>0</v>
      </c>
      <c r="N44" s="141">
        <f t="shared" si="13"/>
        <v>226.51999999999998</v>
      </c>
      <c r="O44" s="141">
        <f t="shared" si="13"/>
        <v>483.37000000000006</v>
      </c>
      <c r="P44" s="141">
        <f t="shared" si="13"/>
        <v>0</v>
      </c>
      <c r="Q44" s="141">
        <f t="shared" si="13"/>
        <v>0</v>
      </c>
      <c r="R44" s="141">
        <f t="shared" si="13"/>
        <v>0</v>
      </c>
      <c r="S44" s="141">
        <f t="shared" si="13"/>
        <v>0</v>
      </c>
      <c r="T44" s="141">
        <f t="shared" si="13"/>
        <v>483.37000000000006</v>
      </c>
      <c r="U44" s="141">
        <f t="shared" si="13"/>
        <v>39565.215999999993</v>
      </c>
    </row>
    <row r="45" spans="1:21" ht="38.25" customHeight="1" x14ac:dyDescent="0.35">
      <c r="A45" s="171">
        <v>29</v>
      </c>
      <c r="B45" s="172" t="s">
        <v>113</v>
      </c>
      <c r="C45" s="139">
        <f>'[5]July 2023'!H45</f>
        <v>8458.6820999999982</v>
      </c>
      <c r="D45" s="139">
        <v>9.25</v>
      </c>
      <c r="E45" s="139">
        <f>'[5]July 2023'!E45+'[5]Aug 2023'!D45</f>
        <v>104.12</v>
      </c>
      <c r="F45" s="139">
        <v>0</v>
      </c>
      <c r="G45" s="139">
        <f>'[5]July 2023'!G45+'[5]Aug 2023'!F45</f>
        <v>0</v>
      </c>
      <c r="H45" s="139">
        <f t="shared" si="0"/>
        <v>8467.9320999999982</v>
      </c>
      <c r="I45" s="139">
        <f>'[5]July 2023'!N45</f>
        <v>261.14999999999992</v>
      </c>
      <c r="J45" s="139">
        <v>0</v>
      </c>
      <c r="K45" s="139">
        <f>'[5]July 2023'!K45+'[5]Aug 2023'!J45</f>
        <v>0.1</v>
      </c>
      <c r="L45" s="139">
        <v>0</v>
      </c>
      <c r="M45" s="139">
        <f>'[5]July 2023'!M45+'[5]Aug 2023'!L45</f>
        <v>0</v>
      </c>
      <c r="N45" s="139">
        <f t="shared" si="1"/>
        <v>261.14999999999992</v>
      </c>
      <c r="O45" s="139">
        <f>'[5]July 2023'!T45</f>
        <v>84.45</v>
      </c>
      <c r="P45" s="139">
        <v>0</v>
      </c>
      <c r="Q45" s="139">
        <f>'[5]July 2023'!Q45+'[5]Aug 2023'!P45</f>
        <v>0.06</v>
      </c>
      <c r="R45" s="139">
        <v>0</v>
      </c>
      <c r="S45" s="139">
        <f>'[5]July 2023'!S45+'[5]Aug 2023'!R45</f>
        <v>0</v>
      </c>
      <c r="T45" s="139">
        <f t="shared" si="2"/>
        <v>84.45</v>
      </c>
      <c r="U45" s="139">
        <f t="shared" si="3"/>
        <v>8813.5320999999985</v>
      </c>
    </row>
    <row r="46" spans="1:21" ht="38.25" customHeight="1" x14ac:dyDescent="0.35">
      <c r="A46" s="171">
        <v>30</v>
      </c>
      <c r="B46" s="172" t="s">
        <v>114</v>
      </c>
      <c r="C46" s="139">
        <f>'[5]July 2023'!H46</f>
        <v>8070.8250000000016</v>
      </c>
      <c r="D46" s="139">
        <v>14.81</v>
      </c>
      <c r="E46" s="139">
        <f>'[5]July 2023'!E46+'[5]Aug 2023'!D46</f>
        <v>138.4</v>
      </c>
      <c r="F46" s="139">
        <v>0</v>
      </c>
      <c r="G46" s="139">
        <f>'[5]July 2023'!G46+'[5]Aug 2023'!F46</f>
        <v>0</v>
      </c>
      <c r="H46" s="139">
        <f t="shared" si="0"/>
        <v>8085.635000000002</v>
      </c>
      <c r="I46" s="139">
        <f>'[5]July 2023'!N46</f>
        <v>0</v>
      </c>
      <c r="J46" s="139">
        <v>0</v>
      </c>
      <c r="K46" s="139">
        <f>'[5]July 2023'!K46+'[5]Aug 2023'!J46</f>
        <v>0</v>
      </c>
      <c r="L46" s="139">
        <v>0</v>
      </c>
      <c r="M46" s="139">
        <f>'[5]July 2023'!M46+'[5]Aug 2023'!L46</f>
        <v>0</v>
      </c>
      <c r="N46" s="139">
        <f t="shared" si="1"/>
        <v>0</v>
      </c>
      <c r="O46" s="139">
        <f>'[5]July 2023'!T46</f>
        <v>47.03</v>
      </c>
      <c r="P46" s="139">
        <v>0</v>
      </c>
      <c r="Q46" s="139">
        <f>'[5]July 2023'!Q46+'[5]Aug 2023'!P46</f>
        <v>0</v>
      </c>
      <c r="R46" s="139">
        <v>0</v>
      </c>
      <c r="S46" s="139">
        <f>'[5]July 2023'!S46+'[5]Aug 2023'!R46</f>
        <v>0</v>
      </c>
      <c r="T46" s="139">
        <f t="shared" si="2"/>
        <v>47.03</v>
      </c>
      <c r="U46" s="139">
        <f t="shared" si="3"/>
        <v>8132.6650000000018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f>'[5]July 2023'!H47</f>
        <v>9349.4899999999943</v>
      </c>
      <c r="D47" s="139">
        <v>7.94</v>
      </c>
      <c r="E47" s="139">
        <f>'[5]July 2023'!E47+'[5]Aug 2023'!D47</f>
        <v>279.72999999999996</v>
      </c>
      <c r="F47" s="139">
        <v>0</v>
      </c>
      <c r="G47" s="139">
        <f>'[5]July 2023'!G47+'[5]Aug 2023'!F47</f>
        <v>0</v>
      </c>
      <c r="H47" s="139">
        <f t="shared" si="0"/>
        <v>9357.4299999999948</v>
      </c>
      <c r="I47" s="139">
        <f>'[5]July 2023'!N47</f>
        <v>3.13</v>
      </c>
      <c r="J47" s="139">
        <v>0</v>
      </c>
      <c r="K47" s="139">
        <f>'[5]July 2023'!K47+'[5]Aug 2023'!J47</f>
        <v>0</v>
      </c>
      <c r="L47" s="139">
        <v>0</v>
      </c>
      <c r="M47" s="139">
        <f>'[5]July 2023'!M47+'[5]Aug 2023'!L47</f>
        <v>0</v>
      </c>
      <c r="N47" s="139">
        <f t="shared" si="1"/>
        <v>3.13</v>
      </c>
      <c r="O47" s="139">
        <f>'[5]July 2023'!T47</f>
        <v>118.94999999999999</v>
      </c>
      <c r="P47" s="139">
        <v>0</v>
      </c>
      <c r="Q47" s="139">
        <f>'[5]July 2023'!Q47+'[5]Aug 2023'!P47</f>
        <v>0</v>
      </c>
      <c r="R47" s="139">
        <v>0</v>
      </c>
      <c r="S47" s="139">
        <f>'[5]July 2023'!S47+'[5]Aug 2023'!R47</f>
        <v>0</v>
      </c>
      <c r="T47" s="139">
        <f t="shared" si="2"/>
        <v>118.94999999999999</v>
      </c>
      <c r="U47" s="139">
        <f t="shared" si="3"/>
        <v>9479.5099999999948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f>'[5]July 2023'!H48</f>
        <v>8642.8189999999977</v>
      </c>
      <c r="D48" s="139">
        <v>2.54</v>
      </c>
      <c r="E48" s="139">
        <f>'[5]July 2023'!E48+'[5]Aug 2023'!D48</f>
        <v>39.410000000000004</v>
      </c>
      <c r="F48" s="139">
        <v>0</v>
      </c>
      <c r="G48" s="139">
        <f>'[5]July 2023'!G48+'[5]Aug 2023'!F48</f>
        <v>0</v>
      </c>
      <c r="H48" s="139">
        <f t="shared" si="0"/>
        <v>8645.3589999999986</v>
      </c>
      <c r="I48" s="139">
        <f>'[5]July 2023'!N48</f>
        <v>5.0249999999999995</v>
      </c>
      <c r="J48" s="139">
        <v>0</v>
      </c>
      <c r="K48" s="139">
        <f>'[5]July 2023'!K48+'[5]Aug 2023'!J48</f>
        <v>0</v>
      </c>
      <c r="L48" s="139">
        <v>0</v>
      </c>
      <c r="M48" s="139">
        <f>'[5]July 2023'!M48+'[5]Aug 2023'!L48</f>
        <v>0</v>
      </c>
      <c r="N48" s="139">
        <f t="shared" si="1"/>
        <v>5.0249999999999995</v>
      </c>
      <c r="O48" s="139">
        <f>'[5]July 2023'!T48</f>
        <v>4.21</v>
      </c>
      <c r="P48" s="139">
        <v>0</v>
      </c>
      <c r="Q48" s="139">
        <f>'[5]July 2023'!Q48+'[5]Aug 2023'!P48</f>
        <v>0</v>
      </c>
      <c r="R48" s="139">
        <v>0</v>
      </c>
      <c r="S48" s="139">
        <f>'[5]July 2023'!S48+'[5]Aug 2023'!R48</f>
        <v>0</v>
      </c>
      <c r="T48" s="139">
        <f t="shared" si="2"/>
        <v>4.21</v>
      </c>
      <c r="U48" s="139">
        <f t="shared" si="3"/>
        <v>8654.5939999999973</v>
      </c>
    </row>
    <row r="49" spans="1:21" s="111" customFormat="1" ht="38.25" customHeight="1" x14ac:dyDescent="0.4">
      <c r="A49" s="240" t="s">
        <v>117</v>
      </c>
      <c r="B49" s="240"/>
      <c r="C49" s="141">
        <f>SUM(C45:C48)</f>
        <v>34521.816099999989</v>
      </c>
      <c r="D49" s="141">
        <f t="shared" ref="D49:U49" si="14">SUM(D45:D48)</f>
        <v>34.54</v>
      </c>
      <c r="E49" s="141">
        <f t="shared" si="14"/>
        <v>561.66</v>
      </c>
      <c r="F49" s="141">
        <f t="shared" si="14"/>
        <v>0</v>
      </c>
      <c r="G49" s="141">
        <f t="shared" si="14"/>
        <v>0</v>
      </c>
      <c r="H49" s="141">
        <f t="shared" si="14"/>
        <v>34556.35609999999</v>
      </c>
      <c r="I49" s="141">
        <f t="shared" si="14"/>
        <v>269.30499999999989</v>
      </c>
      <c r="J49" s="141">
        <f t="shared" si="14"/>
        <v>0</v>
      </c>
      <c r="K49" s="141">
        <f t="shared" si="14"/>
        <v>0.1</v>
      </c>
      <c r="L49" s="141">
        <f t="shared" si="14"/>
        <v>0</v>
      </c>
      <c r="M49" s="141">
        <f t="shared" si="14"/>
        <v>0</v>
      </c>
      <c r="N49" s="141">
        <f t="shared" si="14"/>
        <v>269.30499999999989</v>
      </c>
      <c r="O49" s="141">
        <f t="shared" si="14"/>
        <v>254.64000000000001</v>
      </c>
      <c r="P49" s="141">
        <f t="shared" si="14"/>
        <v>0</v>
      </c>
      <c r="Q49" s="141">
        <f t="shared" si="14"/>
        <v>0.06</v>
      </c>
      <c r="R49" s="141">
        <f t="shared" si="14"/>
        <v>0</v>
      </c>
      <c r="S49" s="141">
        <f t="shared" si="14"/>
        <v>0</v>
      </c>
      <c r="T49" s="141">
        <f t="shared" si="14"/>
        <v>254.64000000000001</v>
      </c>
      <c r="U49" s="141">
        <f t="shared" si="14"/>
        <v>35080.301099999997</v>
      </c>
    </row>
    <row r="50" spans="1:21" s="145" customFormat="1" ht="38.25" customHeight="1" x14ac:dyDescent="0.4">
      <c r="A50" s="243" t="s">
        <v>118</v>
      </c>
      <c r="B50" s="243"/>
      <c r="C50" s="141">
        <f>C49+C44</f>
        <v>73333.612099999969</v>
      </c>
      <c r="D50" s="141">
        <f t="shared" ref="D50:U50" si="15">D49+D44</f>
        <v>78.069999999999993</v>
      </c>
      <c r="E50" s="141">
        <f t="shared" si="15"/>
        <v>956.32999999999993</v>
      </c>
      <c r="F50" s="141">
        <f t="shared" si="15"/>
        <v>0</v>
      </c>
      <c r="G50" s="141">
        <f t="shared" si="15"/>
        <v>0</v>
      </c>
      <c r="H50" s="141">
        <f t="shared" si="15"/>
        <v>73411.682099999976</v>
      </c>
      <c r="I50" s="141">
        <f t="shared" si="15"/>
        <v>495.82499999999987</v>
      </c>
      <c r="J50" s="141">
        <f t="shared" si="15"/>
        <v>0</v>
      </c>
      <c r="K50" s="141">
        <f t="shared" si="15"/>
        <v>0.1</v>
      </c>
      <c r="L50" s="141">
        <f t="shared" si="15"/>
        <v>0</v>
      </c>
      <c r="M50" s="141">
        <f t="shared" si="15"/>
        <v>0</v>
      </c>
      <c r="N50" s="141">
        <f t="shared" si="15"/>
        <v>495.82499999999987</v>
      </c>
      <c r="O50" s="141">
        <f t="shared" si="15"/>
        <v>738.0100000000001</v>
      </c>
      <c r="P50" s="141">
        <f t="shared" si="15"/>
        <v>0</v>
      </c>
      <c r="Q50" s="141">
        <f t="shared" si="15"/>
        <v>0.06</v>
      </c>
      <c r="R50" s="141">
        <f t="shared" si="15"/>
        <v>0</v>
      </c>
      <c r="S50" s="141">
        <f t="shared" si="15"/>
        <v>0</v>
      </c>
      <c r="T50" s="141">
        <f t="shared" si="15"/>
        <v>738.0100000000001</v>
      </c>
      <c r="U50" s="141">
        <f t="shared" si="15"/>
        <v>74645.517099999997</v>
      </c>
    </row>
    <row r="51" spans="1:21" s="146" customFormat="1" ht="38.25" customHeight="1" x14ac:dyDescent="0.4">
      <c r="A51" s="237" t="s">
        <v>119</v>
      </c>
      <c r="B51" s="237"/>
      <c r="C51" s="141">
        <f>C50+C39+C25</f>
        <v>120692.16589999998</v>
      </c>
      <c r="D51" s="141">
        <f t="shared" ref="D51:U51" si="16">D50+D39+D25</f>
        <v>216.755</v>
      </c>
      <c r="E51" s="141">
        <f t="shared" si="16"/>
        <v>1490.422</v>
      </c>
      <c r="F51" s="141">
        <f t="shared" si="16"/>
        <v>2.2999999999999998</v>
      </c>
      <c r="G51" s="141">
        <f t="shared" si="16"/>
        <v>19.920000000000002</v>
      </c>
      <c r="H51" s="141">
        <f t="shared" si="16"/>
        <v>120906.62089999997</v>
      </c>
      <c r="I51" s="141">
        <f t="shared" si="16"/>
        <v>11126.092000000001</v>
      </c>
      <c r="J51" s="141">
        <f t="shared" si="16"/>
        <v>73.664999999999992</v>
      </c>
      <c r="K51" s="141">
        <f t="shared" si="16"/>
        <v>291.36099999999999</v>
      </c>
      <c r="L51" s="141">
        <f t="shared" si="16"/>
        <v>0</v>
      </c>
      <c r="M51" s="141">
        <f t="shared" si="16"/>
        <v>0.49</v>
      </c>
      <c r="N51" s="141">
        <f t="shared" si="16"/>
        <v>11199.757</v>
      </c>
      <c r="O51" s="141">
        <f t="shared" si="16"/>
        <v>1631.27</v>
      </c>
      <c r="P51" s="141">
        <f t="shared" si="16"/>
        <v>0</v>
      </c>
      <c r="Q51" s="141">
        <f t="shared" si="16"/>
        <v>1.53</v>
      </c>
      <c r="R51" s="141">
        <f t="shared" si="16"/>
        <v>33.800000000000004</v>
      </c>
      <c r="S51" s="141">
        <f t="shared" si="16"/>
        <v>81.3</v>
      </c>
      <c r="T51" s="141">
        <f t="shared" si="16"/>
        <v>1597.47</v>
      </c>
      <c r="U51" s="141">
        <f t="shared" si="16"/>
        <v>133703.84789999999</v>
      </c>
    </row>
    <row r="52" spans="1:21" s="111" customFormat="1" ht="24" customHeight="1" x14ac:dyDescent="0.4">
      <c r="A52" s="115"/>
      <c r="B52" s="115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</row>
    <row r="53" spans="1:21" s="111" customFormat="1" ht="19.5" customHeight="1" x14ac:dyDescent="0.4">
      <c r="A53" s="115"/>
      <c r="B53" s="115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</row>
    <row r="54" spans="1:21" s="115" customFormat="1" ht="24.75" hidden="1" customHeight="1" x14ac:dyDescent="0.4">
      <c r="B54" s="174"/>
      <c r="C54" s="189" t="s">
        <v>54</v>
      </c>
      <c r="D54" s="189"/>
      <c r="E54" s="189"/>
      <c r="F54" s="189"/>
      <c r="G54" s="189"/>
      <c r="H54" s="118"/>
      <c r="I54" s="174"/>
      <c r="J54" s="174">
        <f>D51+J51+P51-F51-L51-R51</f>
        <v>254.31999999999994</v>
      </c>
      <c r="K54" s="174"/>
      <c r="L54" s="174"/>
      <c r="M54" s="174"/>
      <c r="N54" s="174"/>
      <c r="R54" s="174"/>
      <c r="U54" s="174"/>
    </row>
    <row r="55" spans="1:21" s="115" customFormat="1" ht="30" hidden="1" customHeight="1" x14ac:dyDescent="0.35">
      <c r="B55" s="174"/>
      <c r="C55" s="189" t="s">
        <v>55</v>
      </c>
      <c r="D55" s="189"/>
      <c r="E55" s="189"/>
      <c r="F55" s="189"/>
      <c r="G55" s="189"/>
      <c r="H55" s="119"/>
      <c r="I55" s="174"/>
      <c r="J55" s="174">
        <f>E51+K51+Q51-G51-M51-S51</f>
        <v>1681.6029999999998</v>
      </c>
      <c r="K55" s="174"/>
      <c r="L55" s="174"/>
      <c r="M55" s="174"/>
      <c r="N55" s="174"/>
      <c r="R55" s="174"/>
      <c r="T55" s="174"/>
    </row>
    <row r="56" spans="1:21" ht="33" hidden="1" customHeight="1" x14ac:dyDescent="0.5">
      <c r="C56" s="189" t="s">
        <v>56</v>
      </c>
      <c r="D56" s="189"/>
      <c r="E56" s="189"/>
      <c r="F56" s="189"/>
      <c r="G56" s="189"/>
      <c r="H56" s="119"/>
      <c r="I56" s="121"/>
      <c r="J56" s="174">
        <f>H51+N51+T51</f>
        <v>133703.84789999996</v>
      </c>
      <c r="K56" s="119"/>
      <c r="L56" s="119"/>
      <c r="M56" s="142" t="e">
        <f>#REF!+'Sep-2023'!J54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74"/>
      <c r="E57" s="174"/>
      <c r="F57" s="174"/>
      <c r="G57" s="174"/>
      <c r="H57" s="119"/>
      <c r="I57" s="121"/>
      <c r="J57" s="174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74"/>
      <c r="E58" s="174"/>
      <c r="F58" s="174"/>
      <c r="G58" s="174"/>
      <c r="H58" s="119"/>
      <c r="I58" s="121"/>
      <c r="J58" s="174"/>
      <c r="K58" s="119"/>
      <c r="L58" s="119"/>
      <c r="M58" s="142" t="e">
        <f>#REF!+'Sep-2023'!J54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32" t="s">
        <v>57</v>
      </c>
      <c r="C59" s="232"/>
      <c r="D59" s="232"/>
      <c r="E59" s="232"/>
      <c r="F59" s="232"/>
      <c r="G59" s="153"/>
      <c r="H59" s="154"/>
      <c r="I59" s="155"/>
      <c r="J59" s="234"/>
      <c r="K59" s="233"/>
      <c r="L59" s="233"/>
      <c r="M59" s="169" t="e">
        <f>#REF!+'Sep-2023'!J54</f>
        <v>#REF!</v>
      </c>
      <c r="N59" s="154"/>
      <c r="O59" s="154"/>
      <c r="P59" s="177"/>
      <c r="Q59" s="232" t="s">
        <v>58</v>
      </c>
      <c r="R59" s="232"/>
      <c r="S59" s="232"/>
      <c r="T59" s="232"/>
      <c r="U59" s="232"/>
    </row>
    <row r="60" spans="1:21" s="152" customFormat="1" ht="37.5" hidden="1" customHeight="1" x14ac:dyDescent="0.45">
      <c r="B60" s="232" t="s">
        <v>59</v>
      </c>
      <c r="C60" s="232"/>
      <c r="D60" s="232"/>
      <c r="E60" s="232"/>
      <c r="F60" s="232"/>
      <c r="G60" s="154"/>
      <c r="H60" s="153"/>
      <c r="I60" s="156"/>
      <c r="J60" s="157"/>
      <c r="K60" s="176"/>
      <c r="L60" s="157"/>
      <c r="M60" s="154"/>
      <c r="N60" s="153"/>
      <c r="O60" s="154"/>
      <c r="P60" s="177"/>
      <c r="Q60" s="232" t="s">
        <v>59</v>
      </c>
      <c r="R60" s="232"/>
      <c r="S60" s="232"/>
      <c r="T60" s="232"/>
      <c r="U60" s="232"/>
    </row>
    <row r="61" spans="1:21" s="152" customFormat="1" ht="37.5" hidden="1" customHeight="1" x14ac:dyDescent="0.45">
      <c r="I61" s="158"/>
      <c r="J61" s="233" t="s">
        <v>61</v>
      </c>
      <c r="K61" s="233"/>
      <c r="L61" s="233"/>
      <c r="M61" s="159" t="e">
        <f>#REF!+'Sep-2023'!J54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#REF!+'Sep-2023'!J54</f>
        <v>#REF!</v>
      </c>
      <c r="I62" s="158"/>
      <c r="J62" s="233" t="s">
        <v>62</v>
      </c>
      <c r="K62" s="233"/>
      <c r="L62" s="233"/>
      <c r="M62" s="159" t="e">
        <f>#REF!+'Sep-2023'!J54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R5:S5"/>
    <mergeCell ref="T5:T6"/>
    <mergeCell ref="I5:I6"/>
    <mergeCell ref="J5:K5"/>
    <mergeCell ref="L5:M5"/>
    <mergeCell ref="N5:N6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1:B11"/>
    <mergeCell ref="F5:G5"/>
    <mergeCell ref="H5:H6"/>
    <mergeCell ref="B60:F60"/>
    <mergeCell ref="Q60:U60"/>
    <mergeCell ref="J61:L61"/>
    <mergeCell ref="J62:L62"/>
    <mergeCell ref="C54:G54"/>
    <mergeCell ref="C55:G55"/>
    <mergeCell ref="C56:G56"/>
    <mergeCell ref="B59:F59"/>
    <mergeCell ref="J59:L59"/>
    <mergeCell ref="Q59:U5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topLeftCell="H1" zoomScale="48" zoomScaleNormal="48" workbookViewId="0">
      <pane ySplit="6" topLeftCell="A7" activePane="bottomLeft" state="frozen"/>
      <selection pane="bottomLeft" activeCell="I7" sqref="I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46" t="s">
        <v>123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</row>
    <row r="2" spans="1:21" ht="54" customHeight="1" x14ac:dyDescent="0.35">
      <c r="A2" s="248" t="s">
        <v>132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1" ht="32.25" customHeight="1" x14ac:dyDescent="0.35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</row>
    <row r="4" spans="1:21" s="108" customFormat="1" ht="43.5" customHeight="1" x14ac:dyDescent="0.25">
      <c r="A4" s="250" t="s">
        <v>122</v>
      </c>
      <c r="B4" s="235" t="s">
        <v>121</v>
      </c>
      <c r="C4" s="192" t="s">
        <v>131</v>
      </c>
      <c r="D4" s="193"/>
      <c r="E4" s="193"/>
      <c r="F4" s="193"/>
      <c r="G4" s="193"/>
      <c r="H4" s="193"/>
      <c r="I4" s="192" t="s">
        <v>130</v>
      </c>
      <c r="J4" s="193"/>
      <c r="K4" s="193"/>
      <c r="L4" s="193"/>
      <c r="M4" s="193"/>
      <c r="N4" s="193"/>
      <c r="O4" s="192" t="s">
        <v>129</v>
      </c>
      <c r="P4" s="193"/>
      <c r="Q4" s="193"/>
      <c r="R4" s="193"/>
      <c r="S4" s="193"/>
      <c r="T4" s="193"/>
      <c r="U4" s="175"/>
    </row>
    <row r="5" spans="1:21" s="108" customFormat="1" ht="54.75" customHeight="1" x14ac:dyDescent="0.25">
      <c r="A5" s="252"/>
      <c r="B5" s="253"/>
      <c r="C5" s="244" t="s">
        <v>6</v>
      </c>
      <c r="D5" s="238" t="s">
        <v>127</v>
      </c>
      <c r="E5" s="239"/>
      <c r="F5" s="238" t="s">
        <v>126</v>
      </c>
      <c r="G5" s="239"/>
      <c r="H5" s="244" t="s">
        <v>9</v>
      </c>
      <c r="I5" s="244" t="s">
        <v>6</v>
      </c>
      <c r="J5" s="238" t="s">
        <v>127</v>
      </c>
      <c r="K5" s="239"/>
      <c r="L5" s="238" t="s">
        <v>126</v>
      </c>
      <c r="M5" s="239"/>
      <c r="N5" s="244" t="s">
        <v>9</v>
      </c>
      <c r="O5" s="244" t="s">
        <v>6</v>
      </c>
      <c r="P5" s="238" t="s">
        <v>127</v>
      </c>
      <c r="Q5" s="239"/>
      <c r="R5" s="238" t="s">
        <v>126</v>
      </c>
      <c r="S5" s="239"/>
      <c r="T5" s="244" t="s">
        <v>9</v>
      </c>
      <c r="U5" s="235" t="s">
        <v>128</v>
      </c>
    </row>
    <row r="6" spans="1:21" s="108" customFormat="1" ht="38.25" customHeight="1" x14ac:dyDescent="0.25">
      <c r="A6" s="252"/>
      <c r="B6" s="236"/>
      <c r="C6" s="245"/>
      <c r="D6" s="172" t="s">
        <v>124</v>
      </c>
      <c r="E6" s="172" t="s">
        <v>125</v>
      </c>
      <c r="F6" s="172" t="s">
        <v>124</v>
      </c>
      <c r="G6" s="172" t="s">
        <v>125</v>
      </c>
      <c r="H6" s="245"/>
      <c r="I6" s="245"/>
      <c r="J6" s="172" t="s">
        <v>124</v>
      </c>
      <c r="K6" s="172" t="s">
        <v>125</v>
      </c>
      <c r="L6" s="172" t="s">
        <v>124</v>
      </c>
      <c r="M6" s="172" t="s">
        <v>125</v>
      </c>
      <c r="N6" s="245"/>
      <c r="O6" s="245"/>
      <c r="P6" s="172" t="s">
        <v>124</v>
      </c>
      <c r="Q6" s="172" t="s">
        <v>125</v>
      </c>
      <c r="R6" s="172" t="s">
        <v>124</v>
      </c>
      <c r="S6" s="172" t="s">
        <v>125</v>
      </c>
      <c r="T6" s="245"/>
      <c r="U6" s="236"/>
    </row>
    <row r="7" spans="1:21" ht="38.25" customHeight="1" x14ac:dyDescent="0.35">
      <c r="A7" s="171">
        <v>1</v>
      </c>
      <c r="B7" s="172" t="s">
        <v>78</v>
      </c>
      <c r="C7" s="139">
        <f>'[5]Aug 2023'!H7</f>
        <v>7.179999999999982</v>
      </c>
      <c r="D7" s="139">
        <v>0</v>
      </c>
      <c r="E7" s="139">
        <f>'[5]Aug 2023'!E7+'[5]Sep 2023'!D7</f>
        <v>0</v>
      </c>
      <c r="F7" s="139">
        <v>0</v>
      </c>
      <c r="G7" s="139">
        <f>'[5]Aug 2023'!G7+'[5]Sep 2023'!F7</f>
        <v>0</v>
      </c>
      <c r="H7" s="139">
        <f>C7+D7-F7</f>
        <v>7.179999999999982</v>
      </c>
      <c r="I7" s="139">
        <f>'[5]Aug 2023'!N7</f>
        <v>724.25699999999972</v>
      </c>
      <c r="J7" s="139">
        <v>1.48</v>
      </c>
      <c r="K7" s="139">
        <f>'[5]Aug 2023'!K7+'[5]Sep 2023'!J7</f>
        <v>11.280000000000001</v>
      </c>
      <c r="L7" s="139">
        <v>0</v>
      </c>
      <c r="M7" s="139">
        <f>'[5]Aug 2023'!M7+'[5]Sep 2023'!L7</f>
        <v>0</v>
      </c>
      <c r="N7" s="139">
        <f>I7+J7-L7</f>
        <v>725.73699999999974</v>
      </c>
      <c r="O7" s="139">
        <f>'[5]Aug 2023'!T7</f>
        <v>8.436000000000007</v>
      </c>
      <c r="P7" s="139">
        <v>0</v>
      </c>
      <c r="Q7" s="139">
        <f>'[5]Aug 2023'!Q7+'[5]Sep 2023'!P7</f>
        <v>0</v>
      </c>
      <c r="R7" s="139">
        <v>0</v>
      </c>
      <c r="S7" s="139">
        <f>'[5]Aug 2023'!S7+'[5]Sep 2023'!R7</f>
        <v>0</v>
      </c>
      <c r="T7" s="139">
        <f>O7+P7-R7</f>
        <v>8.436000000000007</v>
      </c>
      <c r="U7" s="139">
        <f>H7+N7+T7</f>
        <v>741.35299999999972</v>
      </c>
    </row>
    <row r="8" spans="1:21" ht="38.25" customHeight="1" x14ac:dyDescent="0.35">
      <c r="A8" s="171">
        <v>2</v>
      </c>
      <c r="B8" s="172" t="s">
        <v>79</v>
      </c>
      <c r="C8" s="139">
        <f>'[5]Aug 2023'!H8</f>
        <v>265.98999999999995</v>
      </c>
      <c r="D8" s="139">
        <v>0</v>
      </c>
      <c r="E8" s="139">
        <f>'[5]Aug 2023'!E8+'[5]Sep 2023'!D8</f>
        <v>0</v>
      </c>
      <c r="F8" s="139">
        <v>0</v>
      </c>
      <c r="G8" s="139">
        <f>'[5]Aug 2023'!G8+'[5]Sep 2023'!F8</f>
        <v>0</v>
      </c>
      <c r="H8" s="139">
        <f t="shared" ref="H8:H48" si="0">C8+D8-F8</f>
        <v>265.98999999999995</v>
      </c>
      <c r="I8" s="139">
        <f>'[5]Aug 2023'!N8</f>
        <v>469.27600000000012</v>
      </c>
      <c r="J8" s="139">
        <v>8.24</v>
      </c>
      <c r="K8" s="139">
        <f>'[5]Aug 2023'!K8+'[5]Sep 2023'!J8</f>
        <v>79.37</v>
      </c>
      <c r="L8" s="139">
        <v>0</v>
      </c>
      <c r="M8" s="139">
        <f>'[5]Aug 2023'!M8+'[5]Sep 2023'!L8</f>
        <v>0</v>
      </c>
      <c r="N8" s="139">
        <f t="shared" ref="N8:N48" si="1">I8+J8-L8</f>
        <v>477.51600000000013</v>
      </c>
      <c r="O8" s="139">
        <f>'[5]Aug 2023'!T8</f>
        <v>66.290000000000006</v>
      </c>
      <c r="P8" s="139">
        <v>0</v>
      </c>
      <c r="Q8" s="139">
        <f>'[5]Aug 2023'!Q8+'[5]Sep 2023'!P8</f>
        <v>0</v>
      </c>
      <c r="R8" s="139">
        <v>0</v>
      </c>
      <c r="S8" s="139">
        <f>'[5]Aug 2023'!S8+'[5]Sep 2023'!R8</f>
        <v>0</v>
      </c>
      <c r="T8" s="139">
        <f t="shared" ref="T8:T48" si="2">O8+P8-R8</f>
        <v>66.290000000000006</v>
      </c>
      <c r="U8" s="139">
        <f t="shared" ref="U8:U48" si="3">H8+N8+T8</f>
        <v>809.79600000000005</v>
      </c>
    </row>
    <row r="9" spans="1:21" ht="38.25" customHeight="1" x14ac:dyDescent="0.35">
      <c r="A9" s="171">
        <v>3</v>
      </c>
      <c r="B9" s="172" t="s">
        <v>80</v>
      </c>
      <c r="C9" s="139">
        <f>'[5]Aug 2023'!H9</f>
        <v>209.16</v>
      </c>
      <c r="D9" s="139">
        <v>0</v>
      </c>
      <c r="E9" s="139">
        <f>'[5]Aug 2023'!E9+'[5]Sep 2023'!D9</f>
        <v>0</v>
      </c>
      <c r="F9" s="139">
        <v>0</v>
      </c>
      <c r="G9" s="139">
        <f>'[5]Aug 2023'!G9+'[5]Sep 2023'!F9</f>
        <v>0</v>
      </c>
      <c r="H9" s="139">
        <f t="shared" si="0"/>
        <v>209.16</v>
      </c>
      <c r="I9" s="139">
        <f>'[5]Aug 2023'!N9</f>
        <v>933.64799999999991</v>
      </c>
      <c r="J9" s="139">
        <v>5.18</v>
      </c>
      <c r="K9" s="139">
        <f>'[5]Aug 2023'!K9+'[5]Sep 2023'!J9</f>
        <v>35.58</v>
      </c>
      <c r="L9" s="139">
        <v>0</v>
      </c>
      <c r="M9" s="139">
        <f>'[5]Aug 2023'!M9+'[5]Sep 2023'!L9</f>
        <v>0</v>
      </c>
      <c r="N9" s="139">
        <f t="shared" si="1"/>
        <v>938.82799999999986</v>
      </c>
      <c r="O9" s="139">
        <f>'[5]Aug 2023'!T9</f>
        <v>44.739999999999995</v>
      </c>
      <c r="P9" s="139">
        <v>0</v>
      </c>
      <c r="Q9" s="139">
        <f>'[5]Aug 2023'!Q9+'[5]Sep 2023'!P9</f>
        <v>0</v>
      </c>
      <c r="R9" s="139">
        <v>0</v>
      </c>
      <c r="S9" s="139">
        <f>'[5]Aug 2023'!S9+'[5]Sep 2023'!R9</f>
        <v>0</v>
      </c>
      <c r="T9" s="139">
        <f t="shared" si="2"/>
        <v>44.739999999999995</v>
      </c>
      <c r="U9" s="139">
        <f t="shared" si="3"/>
        <v>1192.7279999999998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f>'[5]Aug 2023'!H10</f>
        <v>0</v>
      </c>
      <c r="D10" s="139">
        <v>0</v>
      </c>
      <c r="E10" s="139">
        <f>'[5]Aug 2023'!E10+'[5]Sep 2023'!D10</f>
        <v>0</v>
      </c>
      <c r="F10" s="139">
        <v>0</v>
      </c>
      <c r="G10" s="139">
        <f>'[5]Aug 2023'!G10+'[5]Sep 2023'!F10</f>
        <v>0</v>
      </c>
      <c r="H10" s="139">
        <f t="shared" si="0"/>
        <v>0</v>
      </c>
      <c r="I10" s="139">
        <f>'[5]Aug 2023'!N10</f>
        <v>371.22599999999989</v>
      </c>
      <c r="J10" s="139">
        <v>0.375</v>
      </c>
      <c r="K10" s="139">
        <f>'[5]Aug 2023'!K10+'[5]Sep 2023'!J10</f>
        <v>6.6280000000000001</v>
      </c>
      <c r="L10" s="139">
        <v>0</v>
      </c>
      <c r="M10" s="139">
        <f>'[5]Aug 2023'!M10+'[5]Sep 2023'!L10</f>
        <v>0</v>
      </c>
      <c r="N10" s="139">
        <f t="shared" si="1"/>
        <v>371.60099999999989</v>
      </c>
      <c r="O10" s="139">
        <f>'[5]Aug 2023'!T10</f>
        <v>0.20000000000000007</v>
      </c>
      <c r="P10" s="139">
        <v>0</v>
      </c>
      <c r="Q10" s="139">
        <f>'[5]Aug 2023'!Q10+'[5]Sep 2023'!P10</f>
        <v>0</v>
      </c>
      <c r="R10" s="139">
        <v>0</v>
      </c>
      <c r="S10" s="139">
        <f>'[5]Aug 2023'!S10+'[5]Sep 2023'!R10</f>
        <v>0</v>
      </c>
      <c r="T10" s="139">
        <f t="shared" si="2"/>
        <v>0.20000000000000007</v>
      </c>
      <c r="U10" s="139">
        <f t="shared" si="3"/>
        <v>371.80099999999987</v>
      </c>
    </row>
    <row r="11" spans="1:21" s="111" customFormat="1" ht="38.25" customHeight="1" x14ac:dyDescent="0.4">
      <c r="A11" s="238" t="s">
        <v>82</v>
      </c>
      <c r="B11" s="239"/>
      <c r="C11" s="141">
        <f>SUM(C7:C10)</f>
        <v>482.32999999999993</v>
      </c>
      <c r="D11" s="141">
        <f t="shared" ref="D11:U11" si="4">SUM(D7:D10)</f>
        <v>0</v>
      </c>
      <c r="E11" s="141">
        <f t="shared" si="4"/>
        <v>0</v>
      </c>
      <c r="F11" s="141">
        <f t="shared" si="4"/>
        <v>0</v>
      </c>
      <c r="G11" s="141">
        <f t="shared" si="4"/>
        <v>0</v>
      </c>
      <c r="H11" s="141">
        <f t="shared" si="4"/>
        <v>482.32999999999993</v>
      </c>
      <c r="I11" s="141">
        <f t="shared" si="4"/>
        <v>2498.4069999999992</v>
      </c>
      <c r="J11" s="141">
        <f t="shared" si="4"/>
        <v>15.275</v>
      </c>
      <c r="K11" s="141">
        <f t="shared" si="4"/>
        <v>132.858</v>
      </c>
      <c r="L11" s="141">
        <f t="shared" si="4"/>
        <v>0</v>
      </c>
      <c r="M11" s="141">
        <f t="shared" si="4"/>
        <v>0</v>
      </c>
      <c r="N11" s="141">
        <f t="shared" si="4"/>
        <v>2513.6819999999998</v>
      </c>
      <c r="O11" s="141">
        <f t="shared" si="4"/>
        <v>119.66600000000001</v>
      </c>
      <c r="P11" s="141">
        <f t="shared" si="4"/>
        <v>0</v>
      </c>
      <c r="Q11" s="141">
        <f t="shared" si="4"/>
        <v>0</v>
      </c>
      <c r="R11" s="141">
        <f t="shared" si="4"/>
        <v>0</v>
      </c>
      <c r="S11" s="141">
        <f t="shared" si="4"/>
        <v>0</v>
      </c>
      <c r="T11" s="141">
        <f t="shared" si="4"/>
        <v>119.66600000000001</v>
      </c>
      <c r="U11" s="141">
        <f t="shared" si="4"/>
        <v>3115.6779999999994</v>
      </c>
    </row>
    <row r="12" spans="1:21" ht="38.25" customHeight="1" x14ac:dyDescent="0.35">
      <c r="A12" s="171">
        <v>4</v>
      </c>
      <c r="B12" s="172" t="s">
        <v>83</v>
      </c>
      <c r="C12" s="139">
        <f>'[5]Aug 2023'!H12</f>
        <v>22.179999999999609</v>
      </c>
      <c r="D12" s="139">
        <v>0</v>
      </c>
      <c r="E12" s="139">
        <f>'[5]Aug 2023'!E12+'[5]Sep 2023'!D12</f>
        <v>0</v>
      </c>
      <c r="F12" s="139">
        <v>0</v>
      </c>
      <c r="G12" s="139">
        <f>'[5]Aug 2023'!G12+'[5]Sep 2023'!F12</f>
        <v>0</v>
      </c>
      <c r="H12" s="139">
        <f t="shared" si="0"/>
        <v>22.179999999999609</v>
      </c>
      <c r="I12" s="139">
        <f>'[5]Aug 2023'!N12</f>
        <v>1292.4049999999997</v>
      </c>
      <c r="J12" s="182">
        <v>1.35</v>
      </c>
      <c r="K12" s="139">
        <f>'[5]Aug 2023'!K12+'[5]Sep 2023'!J12</f>
        <v>17.32</v>
      </c>
      <c r="L12" s="139">
        <v>0</v>
      </c>
      <c r="M12" s="139">
        <f>'[5]Aug 2023'!M12+'[5]Sep 2023'!L12</f>
        <v>0</v>
      </c>
      <c r="N12" s="139">
        <f t="shared" si="1"/>
        <v>1293.7549999999997</v>
      </c>
      <c r="O12" s="139">
        <f>'[5]Aug 2023'!T12</f>
        <v>1.9700000000000095</v>
      </c>
      <c r="P12" s="139">
        <v>0</v>
      </c>
      <c r="Q12" s="139">
        <f>'[5]Aug 2023'!Q12+'[5]Sep 2023'!P12</f>
        <v>0</v>
      </c>
      <c r="R12" s="139">
        <v>0</v>
      </c>
      <c r="S12" s="139">
        <f>'[5]Aug 2023'!S12+'[5]Sep 2023'!R12</f>
        <v>0</v>
      </c>
      <c r="T12" s="139">
        <f t="shared" si="2"/>
        <v>1.9700000000000095</v>
      </c>
      <c r="U12" s="139">
        <f t="shared" si="3"/>
        <v>1317.9049999999993</v>
      </c>
    </row>
    <row r="13" spans="1:21" ht="38.25" customHeight="1" x14ac:dyDescent="0.35">
      <c r="A13" s="171">
        <v>5</v>
      </c>
      <c r="B13" s="172" t="s">
        <v>84</v>
      </c>
      <c r="C13" s="139">
        <f>'[5]Aug 2023'!H13</f>
        <v>312.23000000000013</v>
      </c>
      <c r="D13" s="139">
        <v>0</v>
      </c>
      <c r="E13" s="139">
        <f>'[5]Aug 2023'!E13+'[5]Sep 2023'!D13</f>
        <v>0</v>
      </c>
      <c r="F13" s="139">
        <v>0</v>
      </c>
      <c r="G13" s="139">
        <f>'[5]Aug 2023'!G13+'[5]Sep 2023'!F13</f>
        <v>0</v>
      </c>
      <c r="H13" s="139">
        <f t="shared" si="0"/>
        <v>312.23000000000013</v>
      </c>
      <c r="I13" s="139">
        <f>'[5]Aug 2023'!N13</f>
        <v>554.77200000000028</v>
      </c>
      <c r="J13" s="182">
        <v>1.29</v>
      </c>
      <c r="K13" s="139">
        <f>'[5]Aug 2023'!K13+'[5]Sep 2023'!J13</f>
        <v>10.530000000000001</v>
      </c>
      <c r="L13" s="139">
        <v>0</v>
      </c>
      <c r="M13" s="139">
        <f>'[5]Aug 2023'!M13+'[5]Sep 2023'!L13</f>
        <v>0</v>
      </c>
      <c r="N13" s="139">
        <f t="shared" si="1"/>
        <v>556.06200000000024</v>
      </c>
      <c r="O13" s="139">
        <f>'[5]Aug 2023'!T13</f>
        <v>68.39</v>
      </c>
      <c r="P13" s="139">
        <v>0</v>
      </c>
      <c r="Q13" s="139">
        <f>'[5]Aug 2023'!Q13+'[5]Sep 2023'!P13</f>
        <v>0</v>
      </c>
      <c r="R13" s="139">
        <v>0</v>
      </c>
      <c r="S13" s="139">
        <f>'[5]Aug 2023'!S13+'[5]Sep 2023'!R13</f>
        <v>0</v>
      </c>
      <c r="T13" s="139">
        <f t="shared" si="2"/>
        <v>68.39</v>
      </c>
      <c r="U13" s="139">
        <f t="shared" si="3"/>
        <v>936.68200000000036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f>'[5]Aug 2023'!H14</f>
        <v>1216.4399999999994</v>
      </c>
      <c r="D14" s="139">
        <v>0</v>
      </c>
      <c r="E14" s="139">
        <f>'[5]Aug 2023'!E14+'[5]Sep 2023'!D14</f>
        <v>0</v>
      </c>
      <c r="F14" s="139">
        <v>0</v>
      </c>
      <c r="G14" s="139">
        <f>'[5]Aug 2023'!G14+'[5]Sep 2023'!F14</f>
        <v>0</v>
      </c>
      <c r="H14" s="139">
        <f t="shared" si="0"/>
        <v>1216.4399999999994</v>
      </c>
      <c r="I14" s="139">
        <f>'[5]Aug 2023'!N14</f>
        <v>928.31800000000032</v>
      </c>
      <c r="J14" s="182">
        <v>3.58</v>
      </c>
      <c r="K14" s="139">
        <f>'[5]Aug 2023'!K14+'[5]Sep 2023'!J14</f>
        <v>28.4</v>
      </c>
      <c r="L14" s="139">
        <v>0</v>
      </c>
      <c r="M14" s="139">
        <f>'[5]Aug 2023'!M14+'[5]Sep 2023'!L14</f>
        <v>0</v>
      </c>
      <c r="N14" s="139">
        <f t="shared" si="1"/>
        <v>931.89800000000037</v>
      </c>
      <c r="O14" s="139">
        <f>'[5]Aug 2023'!T14</f>
        <v>61.329999999999991</v>
      </c>
      <c r="P14" s="139">
        <v>0</v>
      </c>
      <c r="Q14" s="139">
        <f>'[5]Aug 2023'!Q14+'[5]Sep 2023'!P14</f>
        <v>0</v>
      </c>
      <c r="R14" s="139">
        <v>0</v>
      </c>
      <c r="S14" s="139">
        <f>'[5]Aug 2023'!S14+'[5]Sep 2023'!R14</f>
        <v>0</v>
      </c>
      <c r="T14" s="139">
        <f t="shared" si="2"/>
        <v>61.329999999999991</v>
      </c>
      <c r="U14" s="139">
        <f t="shared" si="3"/>
        <v>2209.6679999999997</v>
      </c>
    </row>
    <row r="15" spans="1:21" s="111" customFormat="1" ht="38.25" customHeight="1" x14ac:dyDescent="0.4">
      <c r="A15" s="238" t="s">
        <v>86</v>
      </c>
      <c r="B15" s="239"/>
      <c r="C15" s="141">
        <f>SUM(C12:C14)</f>
        <v>1550.849999999999</v>
      </c>
      <c r="D15" s="141">
        <f t="shared" ref="D15:U15" si="5">SUM(D12:D14)</f>
        <v>0</v>
      </c>
      <c r="E15" s="141">
        <f t="shared" si="5"/>
        <v>0</v>
      </c>
      <c r="F15" s="141">
        <f t="shared" si="5"/>
        <v>0</v>
      </c>
      <c r="G15" s="141">
        <f t="shared" si="5"/>
        <v>0</v>
      </c>
      <c r="H15" s="141">
        <f t="shared" si="5"/>
        <v>1550.849999999999</v>
      </c>
      <c r="I15" s="141">
        <f t="shared" si="5"/>
        <v>2775.4950000000003</v>
      </c>
      <c r="J15" s="141">
        <f t="shared" si="5"/>
        <v>6.2200000000000006</v>
      </c>
      <c r="K15" s="141">
        <f t="shared" si="5"/>
        <v>56.25</v>
      </c>
      <c r="L15" s="141">
        <f t="shared" si="5"/>
        <v>0</v>
      </c>
      <c r="M15" s="141">
        <f t="shared" si="5"/>
        <v>0</v>
      </c>
      <c r="N15" s="141">
        <f t="shared" si="5"/>
        <v>2781.7150000000001</v>
      </c>
      <c r="O15" s="141">
        <f t="shared" si="5"/>
        <v>131.69</v>
      </c>
      <c r="P15" s="141">
        <f t="shared" si="5"/>
        <v>0</v>
      </c>
      <c r="Q15" s="141">
        <f t="shared" si="5"/>
        <v>0</v>
      </c>
      <c r="R15" s="141">
        <f t="shared" si="5"/>
        <v>0</v>
      </c>
      <c r="S15" s="141">
        <f t="shared" si="5"/>
        <v>0</v>
      </c>
      <c r="T15" s="141">
        <f t="shared" si="5"/>
        <v>131.69</v>
      </c>
      <c r="U15" s="141">
        <f t="shared" si="5"/>
        <v>4464.2549999999992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f>'[5]Aug 2023'!H16</f>
        <v>758.68400000000042</v>
      </c>
      <c r="D16" s="139">
        <v>0.7</v>
      </c>
      <c r="E16" s="139">
        <f>'[5]Aug 2023'!E16+'[5]Sep 2023'!D16</f>
        <v>9.7499999999999982</v>
      </c>
      <c r="F16" s="139">
        <v>0</v>
      </c>
      <c r="G16" s="139">
        <f>'[5]Aug 2023'!G16+'[5]Sep 2023'!F16</f>
        <v>6.53</v>
      </c>
      <c r="H16" s="139">
        <f t="shared" si="0"/>
        <v>759.38400000000047</v>
      </c>
      <c r="I16" s="139">
        <f>'[5]Aug 2023'!N16</f>
        <v>582.8760000000002</v>
      </c>
      <c r="J16" s="139">
        <v>1.42</v>
      </c>
      <c r="K16" s="139">
        <f>'[5]Aug 2023'!K16+'[5]Sep 2023'!J16</f>
        <v>7.32</v>
      </c>
      <c r="L16" s="139">
        <v>0</v>
      </c>
      <c r="M16" s="139">
        <f>'[5]Aug 2023'!M16+'[5]Sep 2023'!L16</f>
        <v>0</v>
      </c>
      <c r="N16" s="139">
        <f t="shared" si="1"/>
        <v>584.29600000000016</v>
      </c>
      <c r="O16" s="139">
        <f>'[5]Aug 2023'!T16</f>
        <v>114.09200000000004</v>
      </c>
      <c r="P16" s="139">
        <v>0</v>
      </c>
      <c r="Q16" s="139">
        <f>'[5]Aug 2023'!Q16+'[5]Sep 2023'!P16</f>
        <v>0.08</v>
      </c>
      <c r="R16" s="139">
        <v>0.74</v>
      </c>
      <c r="S16" s="139">
        <f>'[5]Aug 2023'!S16+'[5]Sep 2023'!R16</f>
        <v>64.17</v>
      </c>
      <c r="T16" s="139">
        <f t="shared" si="2"/>
        <v>113.35200000000005</v>
      </c>
      <c r="U16" s="139">
        <f t="shared" si="3"/>
        <v>1457.0320000000008</v>
      </c>
    </row>
    <row r="17" spans="1:21" ht="38.25" customHeight="1" x14ac:dyDescent="0.35">
      <c r="A17" s="171">
        <v>9</v>
      </c>
      <c r="B17" s="172" t="s">
        <v>120</v>
      </c>
      <c r="C17" s="139">
        <f>'[5]Aug 2023'!H17</f>
        <v>2.7259999999999476</v>
      </c>
      <c r="D17" s="139">
        <v>0</v>
      </c>
      <c r="E17" s="139">
        <f>'[5]Aug 2023'!E17+'[5]Sep 2023'!D17</f>
        <v>0.05</v>
      </c>
      <c r="F17" s="139">
        <v>0</v>
      </c>
      <c r="G17" s="139">
        <f>'[5]Aug 2023'!G17+'[5]Sep 2023'!F17</f>
        <v>0</v>
      </c>
      <c r="H17" s="139">
        <f t="shared" si="0"/>
        <v>2.7259999999999476</v>
      </c>
      <c r="I17" s="139">
        <f>'[5]Aug 2023'!N17</f>
        <v>604.71</v>
      </c>
      <c r="J17" s="139">
        <v>2.09</v>
      </c>
      <c r="K17" s="139">
        <f>'[5]Aug 2023'!K17+'[5]Sep 2023'!J17</f>
        <v>18.11</v>
      </c>
      <c r="L17" s="139">
        <v>0</v>
      </c>
      <c r="M17" s="139">
        <f>'[5]Aug 2023'!M17+'[5]Sep 2023'!L17</f>
        <v>0.43</v>
      </c>
      <c r="N17" s="139">
        <f t="shared" si="1"/>
        <v>606.80000000000007</v>
      </c>
      <c r="O17" s="139">
        <f>'[5]Aug 2023'!T17</f>
        <v>1.5399999999999998</v>
      </c>
      <c r="P17" s="139">
        <v>0</v>
      </c>
      <c r="Q17" s="139">
        <f>'[5]Aug 2023'!Q17+'[5]Sep 2023'!P17</f>
        <v>1.22</v>
      </c>
      <c r="R17" s="139">
        <v>0</v>
      </c>
      <c r="S17" s="139">
        <f>'[5]Aug 2023'!S17+'[5]Sep 2023'!R17</f>
        <v>1.63</v>
      </c>
      <c r="T17" s="139">
        <f t="shared" si="2"/>
        <v>1.5399999999999998</v>
      </c>
      <c r="U17" s="139">
        <f t="shared" si="3"/>
        <v>611.06600000000003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f>'[5]Aug 2023'!H18</f>
        <v>90.266000000000147</v>
      </c>
      <c r="D18" s="139">
        <v>0</v>
      </c>
      <c r="E18" s="139">
        <f>'[5]Aug 2023'!E18+'[5]Sep 2023'!D18</f>
        <v>0.05</v>
      </c>
      <c r="F18" s="139">
        <v>0</v>
      </c>
      <c r="G18" s="139">
        <f>'[5]Aug 2023'!G18+'[5]Sep 2023'!F18</f>
        <v>0.05</v>
      </c>
      <c r="H18" s="139">
        <f t="shared" si="0"/>
        <v>90.266000000000147</v>
      </c>
      <c r="I18" s="139">
        <f>'[5]Aug 2023'!N18</f>
        <v>623.21</v>
      </c>
      <c r="J18" s="139">
        <v>0.46</v>
      </c>
      <c r="K18" s="139">
        <f>'[5]Aug 2023'!K18+'[5]Sep 2023'!J18</f>
        <v>6.375</v>
      </c>
      <c r="L18" s="139">
        <v>0</v>
      </c>
      <c r="M18" s="139">
        <f>'[5]Aug 2023'!M18+'[5]Sep 2023'!L18</f>
        <v>0</v>
      </c>
      <c r="N18" s="139">
        <f t="shared" si="1"/>
        <v>623.67000000000007</v>
      </c>
      <c r="O18" s="139">
        <f>'[5]Aug 2023'!T18</f>
        <v>35.689999999999991</v>
      </c>
      <c r="P18" s="139">
        <v>0</v>
      </c>
      <c r="Q18" s="139">
        <f>'[5]Aug 2023'!Q18+'[5]Sep 2023'!P18</f>
        <v>0</v>
      </c>
      <c r="R18" s="139">
        <v>0</v>
      </c>
      <c r="S18" s="139">
        <f>'[5]Aug 2023'!S18+'[5]Sep 2023'!R18</f>
        <v>0</v>
      </c>
      <c r="T18" s="139">
        <f t="shared" si="2"/>
        <v>35.689999999999991</v>
      </c>
      <c r="U18" s="139">
        <f t="shared" si="3"/>
        <v>749.6260000000002</v>
      </c>
    </row>
    <row r="19" spans="1:21" s="111" customFormat="1" ht="38.25" customHeight="1" x14ac:dyDescent="0.4">
      <c r="A19" s="238" t="s">
        <v>89</v>
      </c>
      <c r="B19" s="239"/>
      <c r="C19" s="141">
        <f>SUM(C16:C18)</f>
        <v>851.67600000000061</v>
      </c>
      <c r="D19" s="141">
        <f t="shared" ref="D19:U19" si="6">SUM(D16:D18)</f>
        <v>0.7</v>
      </c>
      <c r="E19" s="141">
        <f t="shared" si="6"/>
        <v>9.85</v>
      </c>
      <c r="F19" s="141">
        <f t="shared" si="6"/>
        <v>0</v>
      </c>
      <c r="G19" s="141">
        <f t="shared" si="6"/>
        <v>6.58</v>
      </c>
      <c r="H19" s="141">
        <f t="shared" si="6"/>
        <v>852.37600000000066</v>
      </c>
      <c r="I19" s="141">
        <f t="shared" si="6"/>
        <v>1810.7960000000003</v>
      </c>
      <c r="J19" s="141">
        <f t="shared" si="6"/>
        <v>3.9699999999999998</v>
      </c>
      <c r="K19" s="141">
        <f t="shared" si="6"/>
        <v>31.805</v>
      </c>
      <c r="L19" s="141">
        <f t="shared" si="6"/>
        <v>0</v>
      </c>
      <c r="M19" s="141">
        <f t="shared" si="6"/>
        <v>0.43</v>
      </c>
      <c r="N19" s="141">
        <f t="shared" si="6"/>
        <v>1814.7660000000003</v>
      </c>
      <c r="O19" s="141">
        <f t="shared" si="6"/>
        <v>151.32200000000003</v>
      </c>
      <c r="P19" s="141">
        <f t="shared" si="6"/>
        <v>0</v>
      </c>
      <c r="Q19" s="141">
        <f t="shared" si="6"/>
        <v>1.3</v>
      </c>
      <c r="R19" s="141">
        <f t="shared" si="6"/>
        <v>0.74</v>
      </c>
      <c r="S19" s="141">
        <f t="shared" si="6"/>
        <v>65.8</v>
      </c>
      <c r="T19" s="141">
        <f t="shared" si="6"/>
        <v>150.58200000000005</v>
      </c>
      <c r="U19" s="141">
        <f t="shared" si="6"/>
        <v>2817.7240000000011</v>
      </c>
    </row>
    <row r="20" spans="1:21" ht="38.25" customHeight="1" x14ac:dyDescent="0.35">
      <c r="A20" s="171">
        <v>8</v>
      </c>
      <c r="B20" s="172" t="s">
        <v>91</v>
      </c>
      <c r="C20" s="139">
        <f>'[5]Aug 2023'!H20</f>
        <v>607.42999999999984</v>
      </c>
      <c r="D20" s="139">
        <v>0</v>
      </c>
      <c r="E20" s="139">
        <f>'[5]Aug 2023'!E20+'[5]Sep 2023'!D20</f>
        <v>0</v>
      </c>
      <c r="F20" s="139">
        <v>0</v>
      </c>
      <c r="G20" s="139">
        <f>'[5]Aug 2023'!G20+'[5]Sep 2023'!F20</f>
        <v>0</v>
      </c>
      <c r="H20" s="139">
        <f t="shared" si="0"/>
        <v>607.42999999999984</v>
      </c>
      <c r="I20" s="139">
        <f>'[5]Aug 2023'!N20</f>
        <v>759.18800000000022</v>
      </c>
      <c r="J20" s="139">
        <v>6.66</v>
      </c>
      <c r="K20" s="139">
        <f>'[5]Aug 2023'!K20+'[5]Sep 2023'!J20</f>
        <v>17.46</v>
      </c>
      <c r="L20" s="139">
        <v>0</v>
      </c>
      <c r="M20" s="139">
        <f>'[5]Aug 2023'!M20+'[5]Sep 2023'!L20</f>
        <v>0.02</v>
      </c>
      <c r="N20" s="139">
        <f t="shared" si="1"/>
        <v>765.84800000000018</v>
      </c>
      <c r="O20" s="139">
        <f>'[5]Aug 2023'!T20</f>
        <v>37.580000000000005</v>
      </c>
      <c r="P20" s="139">
        <v>0</v>
      </c>
      <c r="Q20" s="139">
        <f>'[5]Aug 2023'!Q20+'[5]Sep 2023'!P20</f>
        <v>0</v>
      </c>
      <c r="R20" s="139">
        <v>0</v>
      </c>
      <c r="S20" s="139">
        <f>'[5]Aug 2023'!S20+'[5]Sep 2023'!R20</f>
        <v>0</v>
      </c>
      <c r="T20" s="139">
        <f t="shared" si="2"/>
        <v>37.580000000000005</v>
      </c>
      <c r="U20" s="139">
        <f t="shared" si="3"/>
        <v>1410.8579999999999</v>
      </c>
    </row>
    <row r="21" spans="1:21" ht="38.25" customHeight="1" x14ac:dyDescent="0.35">
      <c r="A21" s="171">
        <v>9</v>
      </c>
      <c r="B21" s="172" t="s">
        <v>90</v>
      </c>
      <c r="C21" s="139">
        <f>'[5]Aug 2023'!H21</f>
        <v>1.2000000000000002</v>
      </c>
      <c r="D21" s="139">
        <v>0</v>
      </c>
      <c r="E21" s="139">
        <f>'[5]Aug 2023'!E21+'[5]Sep 2023'!D21</f>
        <v>0</v>
      </c>
      <c r="F21" s="139">
        <v>0</v>
      </c>
      <c r="G21" s="139">
        <f>'[5]Aug 2023'!G21+'[5]Sep 2023'!F21</f>
        <v>0.87</v>
      </c>
      <c r="H21" s="139">
        <f t="shared" si="0"/>
        <v>1.2000000000000002</v>
      </c>
      <c r="I21" s="139">
        <f>'[5]Aug 2023'!N21</f>
        <v>469.94700000000012</v>
      </c>
      <c r="J21" s="139">
        <v>0.83</v>
      </c>
      <c r="K21" s="139">
        <f>'[5]Aug 2023'!K21+'[5]Sep 2023'!J21</f>
        <v>9.370000000000001</v>
      </c>
      <c r="L21" s="139">
        <v>0</v>
      </c>
      <c r="M21" s="139">
        <f>'[5]Aug 2023'!M21+'[5]Sep 2023'!L21</f>
        <v>0.02</v>
      </c>
      <c r="N21" s="139">
        <f t="shared" si="1"/>
        <v>470.7770000000001</v>
      </c>
      <c r="O21" s="139">
        <f>'[5]Aug 2023'!T21</f>
        <v>2.649999999999995</v>
      </c>
      <c r="P21" s="139">
        <v>0</v>
      </c>
      <c r="Q21" s="139">
        <f>'[5]Aug 2023'!Q21+'[5]Sep 2023'!P21</f>
        <v>0</v>
      </c>
      <c r="R21" s="139">
        <v>0</v>
      </c>
      <c r="S21" s="139">
        <f>'[5]Aug 2023'!S21+'[5]Sep 2023'!R21</f>
        <v>16.239999999999998</v>
      </c>
      <c r="T21" s="139">
        <f t="shared" si="2"/>
        <v>2.649999999999995</v>
      </c>
      <c r="U21" s="139">
        <f t="shared" si="3"/>
        <v>474.62700000000007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f>'[5]Aug 2023'!H22</f>
        <v>22.430000000000021</v>
      </c>
      <c r="D22" s="139">
        <v>0</v>
      </c>
      <c r="E22" s="139">
        <f>'[5]Aug 2023'!E22+'[5]Sep 2023'!D22</f>
        <v>0</v>
      </c>
      <c r="F22" s="139">
        <v>0</v>
      </c>
      <c r="G22" s="139">
        <f>'[5]Aug 2023'!G22+'[5]Sep 2023'!F22</f>
        <v>0</v>
      </c>
      <c r="H22" s="139">
        <f t="shared" si="0"/>
        <v>22.430000000000021</v>
      </c>
      <c r="I22" s="139">
        <f>'[5]Aug 2023'!N22</f>
        <v>700.58</v>
      </c>
      <c r="J22" s="139">
        <v>0.67</v>
      </c>
      <c r="K22" s="139">
        <f>'[5]Aug 2023'!K22+'[5]Sep 2023'!J22</f>
        <v>3.0300000000000002</v>
      </c>
      <c r="L22" s="139">
        <v>0</v>
      </c>
      <c r="M22" s="139">
        <f>'[5]Aug 2023'!M22+'[5]Sep 2023'!L22</f>
        <v>0</v>
      </c>
      <c r="N22" s="139">
        <f t="shared" si="1"/>
        <v>701.25</v>
      </c>
      <c r="O22" s="139">
        <f>'[5]Aug 2023'!T22</f>
        <v>0.60000000000000098</v>
      </c>
      <c r="P22" s="139">
        <v>0</v>
      </c>
      <c r="Q22" s="139">
        <f>'[5]Aug 2023'!Q22+'[5]Sep 2023'!P22</f>
        <v>0</v>
      </c>
      <c r="R22" s="139">
        <v>0</v>
      </c>
      <c r="S22" s="139">
        <f>'[5]Aug 2023'!S22+'[5]Sep 2023'!R22</f>
        <v>0</v>
      </c>
      <c r="T22" s="139">
        <f t="shared" si="2"/>
        <v>0.60000000000000098</v>
      </c>
      <c r="U22" s="139">
        <f t="shared" si="3"/>
        <v>724.28000000000009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f>'[5]Aug 2023'!H23</f>
        <v>432.16999999999996</v>
      </c>
      <c r="D23" s="139">
        <v>35</v>
      </c>
      <c r="E23" s="139">
        <f>'[5]Aug 2023'!E23+'[5]Sep 2023'!D23</f>
        <v>36.53</v>
      </c>
      <c r="F23" s="139">
        <v>31</v>
      </c>
      <c r="G23" s="139">
        <f>'[5]Aug 2023'!G23+'[5]Sep 2023'!F23</f>
        <v>31</v>
      </c>
      <c r="H23" s="139">
        <f t="shared" si="0"/>
        <v>436.16999999999996</v>
      </c>
      <c r="I23" s="139">
        <f>'[5]Aug 2023'!N23</f>
        <v>144.78499999999997</v>
      </c>
      <c r="J23" s="139">
        <v>1.92</v>
      </c>
      <c r="K23" s="139">
        <f>'[5]Aug 2023'!K23+'[5]Sep 2023'!J23</f>
        <v>7.15</v>
      </c>
      <c r="L23" s="139">
        <v>0</v>
      </c>
      <c r="M23" s="139">
        <f>'[5]Aug 2023'!M23+'[5]Sep 2023'!L23</f>
        <v>0</v>
      </c>
      <c r="N23" s="139">
        <f t="shared" si="1"/>
        <v>146.70499999999996</v>
      </c>
      <c r="O23" s="139">
        <f>'[5]Aug 2023'!T23</f>
        <v>22.5</v>
      </c>
      <c r="P23" s="139">
        <v>0</v>
      </c>
      <c r="Q23" s="139">
        <f>'[5]Aug 2023'!Q23+'[5]Sep 2023'!P23</f>
        <v>0</v>
      </c>
      <c r="R23" s="139">
        <v>0</v>
      </c>
      <c r="S23" s="139">
        <f>'[5]Aug 2023'!S23+'[5]Sep 2023'!R23</f>
        <v>0</v>
      </c>
      <c r="T23" s="139">
        <f t="shared" si="2"/>
        <v>22.5</v>
      </c>
      <c r="U23" s="139">
        <f t="shared" si="3"/>
        <v>605.37499999999989</v>
      </c>
    </row>
    <row r="24" spans="1:21" s="111" customFormat="1" ht="38.25" customHeight="1" x14ac:dyDescent="0.4">
      <c r="A24" s="240" t="s">
        <v>94</v>
      </c>
      <c r="B24" s="240"/>
      <c r="C24" s="141">
        <f>SUM(C20:C23)</f>
        <v>1063.23</v>
      </c>
      <c r="D24" s="141">
        <f t="shared" ref="D24:U24" si="7">SUM(D20:D23)</f>
        <v>35</v>
      </c>
      <c r="E24" s="141">
        <f t="shared" si="7"/>
        <v>36.53</v>
      </c>
      <c r="F24" s="141">
        <f t="shared" si="7"/>
        <v>31</v>
      </c>
      <c r="G24" s="141">
        <f t="shared" si="7"/>
        <v>31.87</v>
      </c>
      <c r="H24" s="141">
        <f t="shared" si="7"/>
        <v>1067.23</v>
      </c>
      <c r="I24" s="141">
        <f t="shared" si="7"/>
        <v>2074.5</v>
      </c>
      <c r="J24" s="141">
        <f t="shared" si="7"/>
        <v>10.08</v>
      </c>
      <c r="K24" s="141">
        <f t="shared" si="7"/>
        <v>37.010000000000005</v>
      </c>
      <c r="L24" s="141">
        <f t="shared" si="7"/>
        <v>0</v>
      </c>
      <c r="M24" s="141">
        <f t="shared" si="7"/>
        <v>0.04</v>
      </c>
      <c r="N24" s="141">
        <f t="shared" si="7"/>
        <v>2084.5800000000004</v>
      </c>
      <c r="O24" s="141">
        <f t="shared" si="7"/>
        <v>63.330000000000005</v>
      </c>
      <c r="P24" s="141">
        <f t="shared" si="7"/>
        <v>0</v>
      </c>
      <c r="Q24" s="141">
        <f t="shared" si="7"/>
        <v>0</v>
      </c>
      <c r="R24" s="141">
        <f t="shared" si="7"/>
        <v>0</v>
      </c>
      <c r="S24" s="141">
        <f t="shared" si="7"/>
        <v>16.239999999999998</v>
      </c>
      <c r="T24" s="141">
        <f t="shared" si="7"/>
        <v>63.330000000000005</v>
      </c>
      <c r="U24" s="141">
        <f t="shared" si="7"/>
        <v>3215.1400000000003</v>
      </c>
    </row>
    <row r="25" spans="1:21" s="145" customFormat="1" ht="38.25" customHeight="1" x14ac:dyDescent="0.4">
      <c r="A25" s="241" t="s">
        <v>95</v>
      </c>
      <c r="B25" s="242"/>
      <c r="C25" s="141">
        <f>C24+C19+C15+C11</f>
        <v>3948.0859999999993</v>
      </c>
      <c r="D25" s="141">
        <f t="shared" ref="D25:U25" si="8">D24+D19+D15+D11</f>
        <v>35.700000000000003</v>
      </c>
      <c r="E25" s="141">
        <f t="shared" si="8"/>
        <v>46.38</v>
      </c>
      <c r="F25" s="141">
        <f t="shared" si="8"/>
        <v>31</v>
      </c>
      <c r="G25" s="141">
        <f t="shared" si="8"/>
        <v>38.450000000000003</v>
      </c>
      <c r="H25" s="141">
        <f t="shared" si="8"/>
        <v>3952.7859999999996</v>
      </c>
      <c r="I25" s="141">
        <f t="shared" si="8"/>
        <v>9159.1980000000003</v>
      </c>
      <c r="J25" s="141">
        <f t="shared" si="8"/>
        <v>35.545000000000002</v>
      </c>
      <c r="K25" s="141">
        <f t="shared" si="8"/>
        <v>257.923</v>
      </c>
      <c r="L25" s="141">
        <f t="shared" si="8"/>
        <v>0</v>
      </c>
      <c r="M25" s="141">
        <f t="shared" si="8"/>
        <v>0.47</v>
      </c>
      <c r="N25" s="141">
        <f t="shared" si="8"/>
        <v>9194.7430000000004</v>
      </c>
      <c r="O25" s="141">
        <f t="shared" si="8"/>
        <v>466.00800000000004</v>
      </c>
      <c r="P25" s="141">
        <f t="shared" si="8"/>
        <v>0</v>
      </c>
      <c r="Q25" s="141">
        <f t="shared" si="8"/>
        <v>1.3</v>
      </c>
      <c r="R25" s="141">
        <f t="shared" si="8"/>
        <v>0.74</v>
      </c>
      <c r="S25" s="141">
        <f t="shared" si="8"/>
        <v>82.039999999999992</v>
      </c>
      <c r="T25" s="141">
        <f t="shared" si="8"/>
        <v>465.26800000000009</v>
      </c>
      <c r="U25" s="141">
        <f t="shared" si="8"/>
        <v>13612.797</v>
      </c>
    </row>
    <row r="26" spans="1:21" ht="38.25" customHeight="1" x14ac:dyDescent="0.35">
      <c r="A26" s="171">
        <v>15</v>
      </c>
      <c r="B26" s="172" t="s">
        <v>96</v>
      </c>
      <c r="C26" s="139">
        <f>'[5]Aug 2023'!H26</f>
        <v>1654.3300000000002</v>
      </c>
      <c r="D26" s="139">
        <v>7.46</v>
      </c>
      <c r="E26" s="139">
        <f>'[5]Aug 2023'!E26+'[5]Sep 2023'!D26</f>
        <v>33.5</v>
      </c>
      <c r="F26" s="139">
        <v>0</v>
      </c>
      <c r="G26" s="139">
        <f>'[5]Aug 2023'!G26+'[5]Sep 2023'!F26</f>
        <v>0</v>
      </c>
      <c r="H26" s="139">
        <f t="shared" si="0"/>
        <v>1661.7900000000002</v>
      </c>
      <c r="I26" s="139">
        <f>'[5]Aug 2023'!N26</f>
        <v>122.7</v>
      </c>
      <c r="J26" s="139">
        <v>0.12</v>
      </c>
      <c r="K26" s="139">
        <f>'[5]Aug 2023'!K26+'[5]Sep 2023'!J26</f>
        <v>1.27</v>
      </c>
      <c r="L26" s="139">
        <v>0</v>
      </c>
      <c r="M26" s="139">
        <f>'[5]Aug 2023'!M26+'[5]Sep 2023'!L26</f>
        <v>0</v>
      </c>
      <c r="N26" s="139">
        <f t="shared" si="1"/>
        <v>122.82000000000001</v>
      </c>
      <c r="O26" s="139">
        <f>'[5]Aug 2023'!T26</f>
        <v>16.489999999999998</v>
      </c>
      <c r="P26" s="139">
        <v>0</v>
      </c>
      <c r="Q26" s="139">
        <f>'[5]Aug 2023'!Q26+'[5]Sep 2023'!P26</f>
        <v>0.12</v>
      </c>
      <c r="R26" s="139">
        <v>0</v>
      </c>
      <c r="S26" s="139">
        <f>'[5]Aug 2023'!S26+'[5]Sep 2023'!R26</f>
        <v>0</v>
      </c>
      <c r="T26" s="139">
        <f t="shared" si="2"/>
        <v>16.489999999999998</v>
      </c>
      <c r="U26" s="139">
        <f t="shared" si="3"/>
        <v>1801.1000000000001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f>'[5]Aug 2023'!H27</f>
        <v>5723.8850000000039</v>
      </c>
      <c r="D27" s="139">
        <v>3.77</v>
      </c>
      <c r="E27" s="139">
        <f>'[5]Aug 2023'!E27+'[5]Sep 2023'!D27</f>
        <v>42.300000000000004</v>
      </c>
      <c r="F27" s="139">
        <v>0</v>
      </c>
      <c r="G27" s="139">
        <f>'[5]Aug 2023'!G27+'[5]Sep 2023'!F27</f>
        <v>0.02</v>
      </c>
      <c r="H27" s="139">
        <f t="shared" si="0"/>
        <v>5727.6550000000043</v>
      </c>
      <c r="I27" s="139">
        <f>'[5]Aug 2023'!N27</f>
        <v>643.7879999999999</v>
      </c>
      <c r="J27" s="139">
        <v>1.78</v>
      </c>
      <c r="K27" s="139">
        <f>'[5]Aug 2023'!K27+'[5]Sep 2023'!J27</f>
        <v>11.409999999999998</v>
      </c>
      <c r="L27" s="139">
        <v>0</v>
      </c>
      <c r="M27" s="139">
        <f>'[5]Aug 2023'!M27+'[5]Sep 2023'!L27</f>
        <v>0.02</v>
      </c>
      <c r="N27" s="139">
        <f t="shared" si="1"/>
        <v>645.56799999999987</v>
      </c>
      <c r="O27" s="139">
        <f>'[5]Aug 2023'!T27</f>
        <v>33.85</v>
      </c>
      <c r="P27" s="139">
        <v>0.78</v>
      </c>
      <c r="Q27" s="139">
        <f>'[5]Aug 2023'!Q27+'[5]Sep 2023'!P27</f>
        <v>0.83000000000000007</v>
      </c>
      <c r="R27" s="139">
        <v>0</v>
      </c>
      <c r="S27" s="139">
        <f>'[5]Aug 2023'!S27+'[5]Sep 2023'!R27</f>
        <v>0</v>
      </c>
      <c r="T27" s="139">
        <f t="shared" si="2"/>
        <v>34.630000000000003</v>
      </c>
      <c r="U27" s="139">
        <f t="shared" si="3"/>
        <v>6407.8530000000046</v>
      </c>
    </row>
    <row r="28" spans="1:21" s="111" customFormat="1" ht="38.25" customHeight="1" x14ac:dyDescent="0.4">
      <c r="A28" s="240" t="s">
        <v>98</v>
      </c>
      <c r="B28" s="240"/>
      <c r="C28" s="141">
        <f>SUM(C26:C27)</f>
        <v>7378.2150000000038</v>
      </c>
      <c r="D28" s="141">
        <f t="shared" ref="D28:U28" si="9">SUM(D26:D27)</f>
        <v>11.23</v>
      </c>
      <c r="E28" s="141">
        <f t="shared" si="9"/>
        <v>75.800000000000011</v>
      </c>
      <c r="F28" s="141">
        <f t="shared" si="9"/>
        <v>0</v>
      </c>
      <c r="G28" s="141">
        <f t="shared" si="9"/>
        <v>0.02</v>
      </c>
      <c r="H28" s="141">
        <f t="shared" si="9"/>
        <v>7389.4450000000043</v>
      </c>
      <c r="I28" s="141">
        <f t="shared" si="9"/>
        <v>766.48799999999994</v>
      </c>
      <c r="J28" s="141">
        <f t="shared" si="9"/>
        <v>1.9</v>
      </c>
      <c r="K28" s="141">
        <f t="shared" si="9"/>
        <v>12.679999999999998</v>
      </c>
      <c r="L28" s="141">
        <f t="shared" si="9"/>
        <v>0</v>
      </c>
      <c r="M28" s="141">
        <f t="shared" si="9"/>
        <v>0.02</v>
      </c>
      <c r="N28" s="141">
        <f t="shared" si="9"/>
        <v>768.38799999999992</v>
      </c>
      <c r="O28" s="141">
        <f t="shared" si="9"/>
        <v>50.34</v>
      </c>
      <c r="P28" s="141">
        <f t="shared" si="9"/>
        <v>0.78</v>
      </c>
      <c r="Q28" s="141">
        <f t="shared" si="9"/>
        <v>0.95000000000000007</v>
      </c>
      <c r="R28" s="141">
        <f t="shared" si="9"/>
        <v>0</v>
      </c>
      <c r="S28" s="141">
        <f t="shared" si="9"/>
        <v>0</v>
      </c>
      <c r="T28" s="141">
        <f t="shared" si="9"/>
        <v>51.120000000000005</v>
      </c>
      <c r="U28" s="141">
        <f t="shared" si="9"/>
        <v>8208.953000000005</v>
      </c>
    </row>
    <row r="29" spans="1:21" ht="38.25" customHeight="1" x14ac:dyDescent="0.35">
      <c r="A29" s="171">
        <v>17</v>
      </c>
      <c r="B29" s="172" t="s">
        <v>99</v>
      </c>
      <c r="C29" s="139">
        <f>'[5]Aug 2023'!H29</f>
        <v>5014.7080000000005</v>
      </c>
      <c r="D29" s="139">
        <v>1.72</v>
      </c>
      <c r="E29" s="139">
        <f>'[5]Aug 2023'!E29+'[5]Sep 2023'!D29</f>
        <v>135.39000000000001</v>
      </c>
      <c r="F29" s="139">
        <v>0</v>
      </c>
      <c r="G29" s="139">
        <f>'[5]Aug 2023'!G29+'[5]Sep 2023'!F29</f>
        <v>0</v>
      </c>
      <c r="H29" s="139">
        <f t="shared" si="0"/>
        <v>5016.4280000000008</v>
      </c>
      <c r="I29" s="139">
        <f>'[5]Aug 2023'!N29</f>
        <v>123.01000000000002</v>
      </c>
      <c r="J29" s="139">
        <v>0.05</v>
      </c>
      <c r="K29" s="139">
        <f>'[5]Aug 2023'!K29+'[5]Sep 2023'!J29</f>
        <v>1.53</v>
      </c>
      <c r="L29" s="139">
        <v>0</v>
      </c>
      <c r="M29" s="139">
        <f>'[5]Aug 2023'!M29+'[5]Sep 2023'!L29</f>
        <v>0</v>
      </c>
      <c r="N29" s="139">
        <f t="shared" si="1"/>
        <v>123.06000000000002</v>
      </c>
      <c r="O29" s="139">
        <f>'[5]Aug 2023'!T29</f>
        <v>34.52000000000001</v>
      </c>
      <c r="P29" s="139">
        <v>0</v>
      </c>
      <c r="Q29" s="139">
        <f>'[5]Aug 2023'!Q29+'[5]Sep 2023'!P29</f>
        <v>0</v>
      </c>
      <c r="R29" s="139">
        <v>0</v>
      </c>
      <c r="S29" s="139">
        <f>'[5]Aug 2023'!S29+'[5]Sep 2023'!R29</f>
        <v>0</v>
      </c>
      <c r="T29" s="139">
        <f t="shared" si="2"/>
        <v>34.52000000000001</v>
      </c>
      <c r="U29" s="139">
        <f t="shared" si="3"/>
        <v>5174.0080000000016</v>
      </c>
    </row>
    <row r="30" spans="1:21" ht="38.25" customHeight="1" x14ac:dyDescent="0.35">
      <c r="A30" s="171">
        <v>18</v>
      </c>
      <c r="B30" s="172" t="s">
        <v>100</v>
      </c>
      <c r="C30" s="139">
        <f>'[5]Aug 2023'!H30</f>
        <v>3738.7999999999993</v>
      </c>
      <c r="D30" s="139">
        <v>5.96</v>
      </c>
      <c r="E30" s="139">
        <f>'[5]Aug 2023'!E30+'[5]Sep 2023'!D30</f>
        <v>42.610000000000007</v>
      </c>
      <c r="F30" s="139">
        <v>0</v>
      </c>
      <c r="G30" s="139">
        <f>'[5]Aug 2023'!G30+'[5]Sep 2023'!F30</f>
        <v>0</v>
      </c>
      <c r="H30" s="139">
        <f t="shared" si="0"/>
        <v>3744.7599999999993</v>
      </c>
      <c r="I30" s="139">
        <f>'[5]Aug 2023'!N30</f>
        <v>232.36699999999999</v>
      </c>
      <c r="J30" s="139">
        <v>0</v>
      </c>
      <c r="K30" s="139">
        <f>'[5]Aug 2023'!K30+'[5]Sep 2023'!J30</f>
        <v>33.78</v>
      </c>
      <c r="L30" s="139">
        <v>0</v>
      </c>
      <c r="M30" s="139">
        <f>'[5]Aug 2023'!M30+'[5]Sep 2023'!L30</f>
        <v>0</v>
      </c>
      <c r="N30" s="139">
        <f t="shared" si="1"/>
        <v>232.36699999999999</v>
      </c>
      <c r="O30" s="139">
        <f>'[5]Aug 2023'!T30</f>
        <v>23.25</v>
      </c>
      <c r="P30" s="139">
        <v>0</v>
      </c>
      <c r="Q30" s="139">
        <f>'[5]Aug 2023'!Q30+'[5]Sep 2023'!P30</f>
        <v>0</v>
      </c>
      <c r="R30" s="139">
        <v>0</v>
      </c>
      <c r="S30" s="139">
        <f>'[5]Aug 2023'!S30+'[5]Sep 2023'!R30</f>
        <v>0</v>
      </c>
      <c r="T30" s="139">
        <f t="shared" si="2"/>
        <v>23.25</v>
      </c>
      <c r="U30" s="139">
        <f t="shared" si="3"/>
        <v>4000.3769999999995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f>'[5]Aug 2023'!H31</f>
        <v>4710.9040000000014</v>
      </c>
      <c r="D31" s="139">
        <v>0.64800000000000002</v>
      </c>
      <c r="E31" s="139">
        <f>'[5]Aug 2023'!E31+'[5]Sep 2023'!D31</f>
        <v>9.0599999999999987</v>
      </c>
      <c r="F31" s="139">
        <v>0</v>
      </c>
      <c r="G31" s="139">
        <f>'[5]Aug 2023'!G31+'[5]Sep 2023'!F31</f>
        <v>0</v>
      </c>
      <c r="H31" s="139">
        <f t="shared" si="0"/>
        <v>4711.5520000000015</v>
      </c>
      <c r="I31" s="139">
        <f>'[5]Aug 2023'!N31</f>
        <v>107.89500000000002</v>
      </c>
      <c r="J31" s="139">
        <v>0</v>
      </c>
      <c r="K31" s="139">
        <f>'[5]Aug 2023'!K31+'[5]Sep 2023'!J31</f>
        <v>0.20499999999999999</v>
      </c>
      <c r="L31" s="139">
        <v>0</v>
      </c>
      <c r="M31" s="139">
        <f>'[5]Aug 2023'!M31+'[5]Sep 2023'!L31</f>
        <v>0</v>
      </c>
      <c r="N31" s="139">
        <f t="shared" si="1"/>
        <v>107.89500000000002</v>
      </c>
      <c r="O31" s="139">
        <f>'[5]Aug 2023'!T31</f>
        <v>14.850000000000001</v>
      </c>
      <c r="P31" s="139">
        <v>0</v>
      </c>
      <c r="Q31" s="139">
        <f>'[5]Aug 2023'!Q31+'[5]Sep 2023'!P31</f>
        <v>0</v>
      </c>
      <c r="R31" s="139">
        <v>0</v>
      </c>
      <c r="S31" s="139">
        <f>'[5]Aug 2023'!S31+'[5]Sep 2023'!R31</f>
        <v>0</v>
      </c>
      <c r="T31" s="139">
        <f t="shared" si="2"/>
        <v>14.850000000000001</v>
      </c>
      <c r="U31" s="139">
        <f t="shared" si="3"/>
        <v>4834.2970000000023</v>
      </c>
    </row>
    <row r="32" spans="1:21" ht="38.25" customHeight="1" x14ac:dyDescent="0.35">
      <c r="A32" s="171">
        <v>20</v>
      </c>
      <c r="B32" s="172" t="s">
        <v>102</v>
      </c>
      <c r="C32" s="139">
        <f>'[5]Aug 2023'!H32</f>
        <v>2378.755799999999</v>
      </c>
      <c r="D32" s="139">
        <v>2.17</v>
      </c>
      <c r="E32" s="139">
        <f>'[5]Aug 2023'!E32+'[5]Sep 2023'!D32</f>
        <v>16.63</v>
      </c>
      <c r="F32" s="139">
        <v>0</v>
      </c>
      <c r="G32" s="139">
        <f>'[5]Aug 2023'!G32+'[5]Sep 2023'!F32</f>
        <v>9.73</v>
      </c>
      <c r="H32" s="139">
        <f t="shared" si="0"/>
        <v>2380.9257999999991</v>
      </c>
      <c r="I32" s="139">
        <f>'[5]Aug 2023'!N32</f>
        <v>107.68400000000003</v>
      </c>
      <c r="J32" s="139">
        <v>1.7</v>
      </c>
      <c r="K32" s="139">
        <f>'[5]Aug 2023'!K32+'[5]Sep 2023'!J32</f>
        <v>16.207999999999998</v>
      </c>
      <c r="L32" s="139">
        <v>0</v>
      </c>
      <c r="M32" s="139">
        <f>'[5]Aug 2023'!M32+'[5]Sep 2023'!L32</f>
        <v>0</v>
      </c>
      <c r="N32" s="139">
        <f t="shared" si="1"/>
        <v>109.38400000000003</v>
      </c>
      <c r="O32" s="139">
        <f>'[5]Aug 2023'!T32</f>
        <v>67.551999999999992</v>
      </c>
      <c r="P32" s="139">
        <v>0</v>
      </c>
      <c r="Q32" s="139">
        <f>'[5]Aug 2023'!Q32+'[5]Sep 2023'!P32</f>
        <v>0</v>
      </c>
      <c r="R32" s="139">
        <v>0</v>
      </c>
      <c r="S32" s="139">
        <f>'[5]Aug 2023'!S32+'[5]Sep 2023'!R32</f>
        <v>0</v>
      </c>
      <c r="T32" s="139">
        <f t="shared" si="2"/>
        <v>67.551999999999992</v>
      </c>
      <c r="U32" s="139">
        <f t="shared" si="3"/>
        <v>2557.8617999999992</v>
      </c>
    </row>
    <row r="33" spans="1:21" s="111" customFormat="1" ht="38.25" customHeight="1" x14ac:dyDescent="0.4">
      <c r="A33" s="240" t="s">
        <v>99</v>
      </c>
      <c r="B33" s="240"/>
      <c r="C33" s="141">
        <f>SUM(C29:C32)</f>
        <v>15843.167799999999</v>
      </c>
      <c r="D33" s="141">
        <f t="shared" ref="D33:U33" si="10">SUM(D29:D32)</f>
        <v>10.497999999999999</v>
      </c>
      <c r="E33" s="141">
        <f t="shared" si="10"/>
        <v>203.69000000000003</v>
      </c>
      <c r="F33" s="141">
        <f t="shared" si="10"/>
        <v>0</v>
      </c>
      <c r="G33" s="141">
        <f t="shared" si="10"/>
        <v>9.73</v>
      </c>
      <c r="H33" s="141">
        <f t="shared" si="10"/>
        <v>15853.665800000001</v>
      </c>
      <c r="I33" s="141">
        <f t="shared" si="10"/>
        <v>570.95600000000013</v>
      </c>
      <c r="J33" s="141">
        <f t="shared" si="10"/>
        <v>1.75</v>
      </c>
      <c r="K33" s="141">
        <f t="shared" si="10"/>
        <v>51.722999999999999</v>
      </c>
      <c r="L33" s="141">
        <f t="shared" si="10"/>
        <v>0</v>
      </c>
      <c r="M33" s="141">
        <f t="shared" si="10"/>
        <v>0</v>
      </c>
      <c r="N33" s="141">
        <f t="shared" si="10"/>
        <v>572.70600000000013</v>
      </c>
      <c r="O33" s="141">
        <f t="shared" si="10"/>
        <v>140.172</v>
      </c>
      <c r="P33" s="141">
        <f t="shared" si="10"/>
        <v>0</v>
      </c>
      <c r="Q33" s="141">
        <f t="shared" si="10"/>
        <v>0</v>
      </c>
      <c r="R33" s="141">
        <f t="shared" si="10"/>
        <v>0</v>
      </c>
      <c r="S33" s="141">
        <f t="shared" si="10"/>
        <v>0</v>
      </c>
      <c r="T33" s="141">
        <f t="shared" si="10"/>
        <v>140.172</v>
      </c>
      <c r="U33" s="141">
        <f t="shared" si="10"/>
        <v>16566.543800000003</v>
      </c>
    </row>
    <row r="34" spans="1:21" ht="38.25" customHeight="1" x14ac:dyDescent="0.35">
      <c r="A34" s="171">
        <v>21</v>
      </c>
      <c r="B34" s="172" t="s">
        <v>103</v>
      </c>
      <c r="C34" s="139">
        <f>'[5]Aug 2023'!H34</f>
        <v>4608.5399999999991</v>
      </c>
      <c r="D34" s="139">
        <v>2.0499999999999998</v>
      </c>
      <c r="E34" s="139">
        <f>'[5]Aug 2023'!E34+'[5]Sep 2023'!D34</f>
        <v>26.560000000000002</v>
      </c>
      <c r="F34" s="139">
        <v>0</v>
      </c>
      <c r="G34" s="139">
        <f>'[5]Aug 2023'!G34+'[5]Sep 2023'!F34</f>
        <v>2.72</v>
      </c>
      <c r="H34" s="139">
        <f t="shared" si="0"/>
        <v>4610.5899999999992</v>
      </c>
      <c r="I34" s="139">
        <f>'[5]Aug 2023'!N34</f>
        <v>116.16999999999999</v>
      </c>
      <c r="J34" s="139">
        <v>0</v>
      </c>
      <c r="K34" s="139">
        <f>'[5]Aug 2023'!K34+'[5]Sep 2023'!J34</f>
        <v>8.09</v>
      </c>
      <c r="L34" s="139">
        <v>0</v>
      </c>
      <c r="M34" s="139">
        <f>'[5]Aug 2023'!M34+'[5]Sep 2023'!L34</f>
        <v>0</v>
      </c>
      <c r="N34" s="139">
        <f t="shared" si="1"/>
        <v>116.16999999999999</v>
      </c>
      <c r="O34" s="139">
        <f>'[5]Aug 2023'!T34</f>
        <v>72.7</v>
      </c>
      <c r="P34" s="139">
        <v>0</v>
      </c>
      <c r="Q34" s="139">
        <f>'[5]Aug 2023'!Q34+'[5]Sep 2023'!P34</f>
        <v>0</v>
      </c>
      <c r="R34" s="139">
        <v>0</v>
      </c>
      <c r="S34" s="139">
        <f>'[5]Aug 2023'!S34+'[5]Sep 2023'!R34</f>
        <v>0</v>
      </c>
      <c r="T34" s="139">
        <f t="shared" si="2"/>
        <v>72.7</v>
      </c>
      <c r="U34" s="139">
        <f t="shared" si="3"/>
        <v>4799.4599999999991</v>
      </c>
    </row>
    <row r="35" spans="1:21" ht="38.25" customHeight="1" x14ac:dyDescent="0.35">
      <c r="A35" s="171">
        <v>22</v>
      </c>
      <c r="B35" s="172" t="s">
        <v>104</v>
      </c>
      <c r="C35" s="139">
        <f>'[5]Aug 2023'!H35</f>
        <v>6787.9199999999973</v>
      </c>
      <c r="D35" s="139">
        <f>6.26+12.62</f>
        <v>18.88</v>
      </c>
      <c r="E35" s="139">
        <f>'[5]Aug 2023'!E35+'[5]Sep 2023'!D35</f>
        <v>123.17999999999999</v>
      </c>
      <c r="F35" s="139">
        <v>0</v>
      </c>
      <c r="G35" s="139">
        <f>'[5]Aug 2023'!G35+'[5]Sep 2023'!F35</f>
        <v>0</v>
      </c>
      <c r="H35" s="139">
        <f t="shared" si="0"/>
        <v>6806.7999999999975</v>
      </c>
      <c r="I35" s="139">
        <f>'[5]Aug 2023'!N35</f>
        <v>34.17</v>
      </c>
      <c r="J35" s="139">
        <v>0</v>
      </c>
      <c r="K35" s="139">
        <f>'[5]Aug 2023'!K35+'[5]Sep 2023'!J35</f>
        <v>0.04</v>
      </c>
      <c r="L35" s="139">
        <v>0</v>
      </c>
      <c r="M35" s="139">
        <f>'[5]Aug 2023'!M35+'[5]Sep 2023'!L35</f>
        <v>0</v>
      </c>
      <c r="N35" s="139">
        <f t="shared" si="1"/>
        <v>34.17</v>
      </c>
      <c r="O35" s="139">
        <f>'[5]Aug 2023'!T35</f>
        <v>90.800000000000011</v>
      </c>
      <c r="P35" s="139">
        <v>0</v>
      </c>
      <c r="Q35" s="139">
        <f>'[5]Aug 2023'!Q35+'[5]Sep 2023'!P35</f>
        <v>0</v>
      </c>
      <c r="R35" s="139">
        <v>0</v>
      </c>
      <c r="S35" s="139">
        <f>'[5]Aug 2023'!S35+'[5]Sep 2023'!R35</f>
        <v>0</v>
      </c>
      <c r="T35" s="139">
        <f t="shared" si="2"/>
        <v>90.800000000000011</v>
      </c>
      <c r="U35" s="139">
        <f t="shared" si="3"/>
        <v>6931.7699999999977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f>'[5]Aug 2023'!H36</f>
        <v>3765.42</v>
      </c>
      <c r="D36" s="139">
        <v>17.75</v>
      </c>
      <c r="E36" s="139">
        <f>'[5]Aug 2023'!E36+'[5]Sep 2023'!D36</f>
        <v>85.509999999999991</v>
      </c>
      <c r="F36" s="139">
        <v>0</v>
      </c>
      <c r="G36" s="139">
        <f>'[5]Aug 2023'!G36+'[5]Sep 2023'!F36</f>
        <v>0</v>
      </c>
      <c r="H36" s="139">
        <f t="shared" si="0"/>
        <v>3783.17</v>
      </c>
      <c r="I36" s="139">
        <f>'[5]Aug 2023'!N36</f>
        <v>30.250000000000039</v>
      </c>
      <c r="J36" s="139">
        <v>0.28000000000000003</v>
      </c>
      <c r="K36" s="139">
        <f>'[5]Aug 2023'!K36+'[5]Sep 2023'!J36</f>
        <v>0.28000000000000003</v>
      </c>
      <c r="L36" s="139">
        <v>0</v>
      </c>
      <c r="M36" s="139">
        <f>'[5]Aug 2023'!M36+'[5]Sep 2023'!L36</f>
        <v>0</v>
      </c>
      <c r="N36" s="139">
        <f t="shared" si="1"/>
        <v>30.53000000000004</v>
      </c>
      <c r="O36" s="139">
        <f>'[5]Aug 2023'!T36</f>
        <v>36.379999999999995</v>
      </c>
      <c r="P36" s="139">
        <v>0</v>
      </c>
      <c r="Q36" s="139">
        <f>'[5]Aug 2023'!Q36+'[5]Sep 2023'!P36</f>
        <v>0</v>
      </c>
      <c r="R36" s="139">
        <v>0</v>
      </c>
      <c r="S36" s="139">
        <f>'[5]Aug 2023'!S36+'[5]Sep 2023'!R36</f>
        <v>0</v>
      </c>
      <c r="T36" s="139">
        <f t="shared" si="2"/>
        <v>36.379999999999995</v>
      </c>
      <c r="U36" s="139">
        <f t="shared" si="3"/>
        <v>3850.0800000000004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f>'[5]Aug 2023'!H37</f>
        <v>5163.5899999999992</v>
      </c>
      <c r="D37" s="139">
        <f>1+31.5</f>
        <v>32.5</v>
      </c>
      <c r="E37" s="139">
        <f>'[5]Aug 2023'!E37+'[5]Sep 2023'!D37</f>
        <v>101.58</v>
      </c>
      <c r="F37" s="139">
        <v>0</v>
      </c>
      <c r="G37" s="139">
        <f>'[5]Aug 2023'!G37+'[5]Sep 2023'!F37</f>
        <v>0</v>
      </c>
      <c r="H37" s="139">
        <f t="shared" si="0"/>
        <v>5196.0899999999992</v>
      </c>
      <c r="I37" s="139">
        <f>'[5]Aug 2023'!N37</f>
        <v>26.700000000000003</v>
      </c>
      <c r="J37" s="139">
        <v>0</v>
      </c>
      <c r="K37" s="139">
        <f>'[5]Aug 2023'!K37+'[5]Sep 2023'!J37</f>
        <v>0</v>
      </c>
      <c r="L37" s="139">
        <v>0</v>
      </c>
      <c r="M37" s="139">
        <f>'[5]Aug 2023'!M37+'[5]Sep 2023'!L37</f>
        <v>0</v>
      </c>
      <c r="N37" s="139">
        <f t="shared" si="1"/>
        <v>26.700000000000003</v>
      </c>
      <c r="O37" s="139">
        <f>'[5]Aug 2023'!T37</f>
        <v>3.0599999999999996</v>
      </c>
      <c r="P37" s="139">
        <v>0</v>
      </c>
      <c r="Q37" s="139">
        <f>'[5]Aug 2023'!Q37+'[5]Sep 2023'!P37</f>
        <v>0</v>
      </c>
      <c r="R37" s="139">
        <v>0</v>
      </c>
      <c r="S37" s="139">
        <f>'[5]Aug 2023'!S37+'[5]Sep 2023'!R37</f>
        <v>0</v>
      </c>
      <c r="T37" s="139">
        <f t="shared" si="2"/>
        <v>3.0599999999999996</v>
      </c>
      <c r="U37" s="139">
        <f t="shared" si="3"/>
        <v>5225.8499999999995</v>
      </c>
    </row>
    <row r="38" spans="1:21" s="111" customFormat="1" ht="38.25" customHeight="1" x14ac:dyDescent="0.4">
      <c r="A38" s="240" t="s">
        <v>107</v>
      </c>
      <c r="B38" s="240"/>
      <c r="C38" s="141">
        <f>SUM(C34:C37)</f>
        <v>20325.469999999994</v>
      </c>
      <c r="D38" s="141">
        <f t="shared" ref="D38:U38" si="11">SUM(D34:D37)</f>
        <v>71.180000000000007</v>
      </c>
      <c r="E38" s="141">
        <f t="shared" si="11"/>
        <v>336.83</v>
      </c>
      <c r="F38" s="141">
        <f t="shared" si="11"/>
        <v>0</v>
      </c>
      <c r="G38" s="141">
        <f t="shared" si="11"/>
        <v>2.72</v>
      </c>
      <c r="H38" s="141">
        <f t="shared" si="11"/>
        <v>20396.649999999994</v>
      </c>
      <c r="I38" s="141">
        <f t="shared" si="11"/>
        <v>207.29000000000002</v>
      </c>
      <c r="J38" s="141">
        <f t="shared" si="11"/>
        <v>0.28000000000000003</v>
      </c>
      <c r="K38" s="141">
        <f t="shared" si="11"/>
        <v>8.4099999999999984</v>
      </c>
      <c r="L38" s="141">
        <f t="shared" si="11"/>
        <v>0</v>
      </c>
      <c r="M38" s="141">
        <f t="shared" si="11"/>
        <v>0</v>
      </c>
      <c r="N38" s="141">
        <f t="shared" si="11"/>
        <v>207.57</v>
      </c>
      <c r="O38" s="141">
        <f t="shared" si="11"/>
        <v>202.94</v>
      </c>
      <c r="P38" s="141">
        <f t="shared" si="11"/>
        <v>0</v>
      </c>
      <c r="Q38" s="141">
        <f t="shared" si="11"/>
        <v>0</v>
      </c>
      <c r="R38" s="141">
        <f t="shared" si="11"/>
        <v>0</v>
      </c>
      <c r="S38" s="141">
        <f t="shared" si="11"/>
        <v>0</v>
      </c>
      <c r="T38" s="141">
        <f t="shared" si="11"/>
        <v>202.94</v>
      </c>
      <c r="U38" s="141">
        <f t="shared" si="11"/>
        <v>20807.159999999996</v>
      </c>
    </row>
    <row r="39" spans="1:21" s="145" customFormat="1" ht="38.25" customHeight="1" x14ac:dyDescent="0.4">
      <c r="A39" s="243" t="s">
        <v>108</v>
      </c>
      <c r="B39" s="243"/>
      <c r="C39" s="141">
        <f>C38+C33+C28</f>
        <v>43546.852800000001</v>
      </c>
      <c r="D39" s="141">
        <f t="shared" ref="D39:U39" si="12">D38+D33+D28</f>
        <v>92.908000000000015</v>
      </c>
      <c r="E39" s="141">
        <f t="shared" si="12"/>
        <v>616.31999999999994</v>
      </c>
      <c r="F39" s="141">
        <f t="shared" si="12"/>
        <v>0</v>
      </c>
      <c r="G39" s="141">
        <f t="shared" si="12"/>
        <v>12.47</v>
      </c>
      <c r="H39" s="141">
        <f t="shared" si="12"/>
        <v>43639.760800000004</v>
      </c>
      <c r="I39" s="141">
        <f t="shared" si="12"/>
        <v>1544.7339999999999</v>
      </c>
      <c r="J39" s="141">
        <f t="shared" si="12"/>
        <v>3.93</v>
      </c>
      <c r="K39" s="141">
        <f t="shared" si="12"/>
        <v>72.812999999999988</v>
      </c>
      <c r="L39" s="141">
        <f t="shared" si="12"/>
        <v>0</v>
      </c>
      <c r="M39" s="141">
        <f t="shared" si="12"/>
        <v>0.02</v>
      </c>
      <c r="N39" s="141">
        <f t="shared" si="12"/>
        <v>1548.664</v>
      </c>
      <c r="O39" s="141">
        <f t="shared" si="12"/>
        <v>393.452</v>
      </c>
      <c r="P39" s="141">
        <f t="shared" si="12"/>
        <v>0.78</v>
      </c>
      <c r="Q39" s="141">
        <f t="shared" si="12"/>
        <v>0.95000000000000007</v>
      </c>
      <c r="R39" s="141">
        <f t="shared" si="12"/>
        <v>0</v>
      </c>
      <c r="S39" s="141">
        <f t="shared" si="12"/>
        <v>0</v>
      </c>
      <c r="T39" s="141">
        <f t="shared" si="12"/>
        <v>394.23199999999997</v>
      </c>
      <c r="U39" s="141">
        <f t="shared" si="12"/>
        <v>45582.656800000012</v>
      </c>
    </row>
    <row r="40" spans="1:21" ht="38.25" customHeight="1" x14ac:dyDescent="0.35">
      <c r="A40" s="171">
        <v>25</v>
      </c>
      <c r="B40" s="172" t="s">
        <v>109</v>
      </c>
      <c r="C40" s="139">
        <f>'[5]Aug 2023'!H40</f>
        <v>11918.623999999998</v>
      </c>
      <c r="D40" s="139">
        <v>12.02</v>
      </c>
      <c r="E40" s="139">
        <f>'[5]Aug 2023'!E40+'[5]Sep 2023'!D40</f>
        <v>73.02</v>
      </c>
      <c r="F40" s="139">
        <v>0</v>
      </c>
      <c r="G40" s="139">
        <f>'[5]Aug 2023'!G40+'[5]Sep 2023'!F40</f>
        <v>0</v>
      </c>
      <c r="H40" s="139">
        <f t="shared" si="0"/>
        <v>11930.643999999998</v>
      </c>
      <c r="I40" s="139">
        <f>'[5]Aug 2023'!N40</f>
        <v>198.73</v>
      </c>
      <c r="J40" s="139">
        <v>0</v>
      </c>
      <c r="K40" s="139">
        <f>'[5]Aug 2023'!K40+'[5]Sep 2023'!J40</f>
        <v>0</v>
      </c>
      <c r="L40" s="139">
        <v>0</v>
      </c>
      <c r="M40" s="139">
        <f>'[5]Aug 2023'!M40+'[5]Sep 2023'!L40</f>
        <v>0</v>
      </c>
      <c r="N40" s="139">
        <f t="shared" si="1"/>
        <v>198.73</v>
      </c>
      <c r="O40" s="139">
        <f>'[5]Aug 2023'!T40</f>
        <v>106.93</v>
      </c>
      <c r="P40" s="139">
        <v>0</v>
      </c>
      <c r="Q40" s="139">
        <f>'[5]Aug 2023'!Q40+'[5]Sep 2023'!P40</f>
        <v>0</v>
      </c>
      <c r="R40" s="139">
        <v>0</v>
      </c>
      <c r="S40" s="139">
        <f>'[5]Aug 2023'!S40+'[5]Sep 2023'!R40</f>
        <v>0</v>
      </c>
      <c r="T40" s="139">
        <f t="shared" si="2"/>
        <v>106.93</v>
      </c>
      <c r="U40" s="139">
        <f t="shared" si="3"/>
        <v>12236.303999999998</v>
      </c>
    </row>
    <row r="41" spans="1:21" ht="38.25" customHeight="1" x14ac:dyDescent="0.35">
      <c r="A41" s="171">
        <v>26</v>
      </c>
      <c r="B41" s="172" t="s">
        <v>110</v>
      </c>
      <c r="C41" s="139">
        <f>'[5]Aug 2023'!H41</f>
        <v>8569.528999999995</v>
      </c>
      <c r="D41" s="139">
        <v>5.91</v>
      </c>
      <c r="E41" s="139">
        <f>'[5]Aug 2023'!E41+'[5]Sep 2023'!D41</f>
        <v>128.04000000000002</v>
      </c>
      <c r="F41" s="139">
        <v>0</v>
      </c>
      <c r="G41" s="139">
        <f>'[5]Aug 2023'!G41+'[5]Sep 2023'!F41</f>
        <v>0</v>
      </c>
      <c r="H41" s="139">
        <f t="shared" si="0"/>
        <v>8575.4389999999948</v>
      </c>
      <c r="I41" s="139">
        <f>'[5]Aug 2023'!N41</f>
        <v>8.67</v>
      </c>
      <c r="J41" s="139">
        <v>0</v>
      </c>
      <c r="K41" s="139">
        <f>'[5]Aug 2023'!K41+'[5]Sep 2023'!J41</f>
        <v>0</v>
      </c>
      <c r="L41" s="139">
        <v>0</v>
      </c>
      <c r="M41" s="139">
        <f>'[5]Aug 2023'!M41+'[5]Sep 2023'!L41</f>
        <v>0</v>
      </c>
      <c r="N41" s="139">
        <f t="shared" si="1"/>
        <v>8.67</v>
      </c>
      <c r="O41" s="139">
        <f>'[5]Aug 2023'!T41</f>
        <v>141.29000000000002</v>
      </c>
      <c r="P41" s="139">
        <v>0</v>
      </c>
      <c r="Q41" s="139">
        <f>'[5]Aug 2023'!Q41+'[5]Sep 2023'!P41</f>
        <v>0</v>
      </c>
      <c r="R41" s="139">
        <v>0</v>
      </c>
      <c r="S41" s="139">
        <f>'[5]Aug 2023'!S41+'[5]Sep 2023'!R41</f>
        <v>0</v>
      </c>
      <c r="T41" s="139">
        <f t="shared" si="2"/>
        <v>141.29000000000002</v>
      </c>
      <c r="U41" s="139">
        <f t="shared" si="3"/>
        <v>8725.3989999999958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f>'[5]Aug 2023'!H42</f>
        <v>14042.322999999997</v>
      </c>
      <c r="D42" s="139">
        <v>24.745000000000001</v>
      </c>
      <c r="E42" s="139">
        <f>'[5]Aug 2023'!E42+'[5]Sep 2023'!D42</f>
        <v>113.39500000000001</v>
      </c>
      <c r="F42" s="139">
        <v>0</v>
      </c>
      <c r="G42" s="139">
        <f>'[5]Aug 2023'!G42+'[5]Sep 2023'!F42</f>
        <v>0</v>
      </c>
      <c r="H42" s="139">
        <f t="shared" si="0"/>
        <v>14067.067999999997</v>
      </c>
      <c r="I42" s="139">
        <f>'[5]Aug 2023'!N42</f>
        <v>15.62</v>
      </c>
      <c r="J42" s="139">
        <v>0</v>
      </c>
      <c r="K42" s="139">
        <f>'[5]Aug 2023'!K42+'[5]Sep 2023'!J42</f>
        <v>0</v>
      </c>
      <c r="L42" s="139">
        <v>0</v>
      </c>
      <c r="M42" s="139">
        <f>'[5]Aug 2023'!M42+'[5]Sep 2023'!L42</f>
        <v>0</v>
      </c>
      <c r="N42" s="139">
        <f t="shared" si="1"/>
        <v>15.62</v>
      </c>
      <c r="O42" s="139">
        <f>'[5]Aug 2023'!T42</f>
        <v>205.35</v>
      </c>
      <c r="P42" s="139">
        <v>0</v>
      </c>
      <c r="Q42" s="139">
        <f>'[5]Aug 2023'!Q42+'[5]Sep 2023'!P42</f>
        <v>0</v>
      </c>
      <c r="R42" s="139">
        <v>0</v>
      </c>
      <c r="S42" s="139">
        <f>'[5]Aug 2023'!S42+'[5]Sep 2023'!R42</f>
        <v>0</v>
      </c>
      <c r="T42" s="139">
        <f t="shared" si="2"/>
        <v>205.35</v>
      </c>
      <c r="U42" s="139">
        <f t="shared" si="3"/>
        <v>14288.037999999999</v>
      </c>
    </row>
    <row r="43" spans="1:21" ht="38.25" customHeight="1" x14ac:dyDescent="0.35">
      <c r="A43" s="171">
        <v>28</v>
      </c>
      <c r="B43" s="172" t="s">
        <v>112</v>
      </c>
      <c r="C43" s="139">
        <f>'[5]Aug 2023'!H43</f>
        <v>4324.8500000000013</v>
      </c>
      <c r="D43" s="139">
        <f>3.7+13.62</f>
        <v>17.32</v>
      </c>
      <c r="E43" s="139">
        <f>'[5]Aug 2023'!E43+'[5]Sep 2023'!D43</f>
        <v>140.20999999999998</v>
      </c>
      <c r="F43" s="139">
        <v>0</v>
      </c>
      <c r="G43" s="139">
        <f>'[5]Aug 2023'!G43+'[5]Sep 2023'!F43</f>
        <v>0</v>
      </c>
      <c r="H43" s="139">
        <f t="shared" si="0"/>
        <v>4342.170000000001</v>
      </c>
      <c r="I43" s="139">
        <f>'[5]Aug 2023'!N43</f>
        <v>3.5</v>
      </c>
      <c r="J43" s="139">
        <v>0</v>
      </c>
      <c r="K43" s="139">
        <f>'[5]Aug 2023'!K43+'[5]Sep 2023'!J43</f>
        <v>0</v>
      </c>
      <c r="L43" s="139">
        <v>0</v>
      </c>
      <c r="M43" s="139">
        <f>'[5]Aug 2023'!M43+'[5]Sep 2023'!L43</f>
        <v>0</v>
      </c>
      <c r="N43" s="139">
        <f t="shared" si="1"/>
        <v>3.5</v>
      </c>
      <c r="O43" s="139">
        <f>'[5]Aug 2023'!T43</f>
        <v>29.8</v>
      </c>
      <c r="P43" s="139">
        <v>0</v>
      </c>
      <c r="Q43" s="139">
        <f>'[5]Aug 2023'!Q43+'[5]Sep 2023'!P43</f>
        <v>0</v>
      </c>
      <c r="R43" s="139">
        <v>0</v>
      </c>
      <c r="S43" s="139">
        <f>'[5]Aug 2023'!S43+'[5]Sep 2023'!R43</f>
        <v>0</v>
      </c>
      <c r="T43" s="139">
        <f t="shared" si="2"/>
        <v>29.8</v>
      </c>
      <c r="U43" s="139">
        <f t="shared" si="3"/>
        <v>4375.4700000000012</v>
      </c>
    </row>
    <row r="44" spans="1:21" s="111" customFormat="1" ht="38.25" customHeight="1" x14ac:dyDescent="0.4">
      <c r="A44" s="240" t="s">
        <v>109</v>
      </c>
      <c r="B44" s="240"/>
      <c r="C44" s="141">
        <f>SUM(C40:C43)</f>
        <v>38855.325999999986</v>
      </c>
      <c r="D44" s="141">
        <f t="shared" ref="D44:U44" si="13">SUM(D40:D43)</f>
        <v>59.994999999999997</v>
      </c>
      <c r="E44" s="141">
        <f t="shared" si="13"/>
        <v>454.66500000000002</v>
      </c>
      <c r="F44" s="141">
        <f t="shared" si="13"/>
        <v>0</v>
      </c>
      <c r="G44" s="141">
        <f t="shared" si="13"/>
        <v>0</v>
      </c>
      <c r="H44" s="141">
        <f t="shared" si="13"/>
        <v>38915.320999999989</v>
      </c>
      <c r="I44" s="141">
        <f t="shared" si="13"/>
        <v>226.51999999999998</v>
      </c>
      <c r="J44" s="141">
        <f t="shared" si="13"/>
        <v>0</v>
      </c>
      <c r="K44" s="141">
        <f t="shared" si="13"/>
        <v>0</v>
      </c>
      <c r="L44" s="141">
        <f t="shared" si="13"/>
        <v>0</v>
      </c>
      <c r="M44" s="141">
        <f t="shared" si="13"/>
        <v>0</v>
      </c>
      <c r="N44" s="141">
        <f t="shared" si="13"/>
        <v>226.51999999999998</v>
      </c>
      <c r="O44" s="141">
        <f t="shared" si="13"/>
        <v>483.37000000000006</v>
      </c>
      <c r="P44" s="141">
        <f t="shared" si="13"/>
        <v>0</v>
      </c>
      <c r="Q44" s="141">
        <f t="shared" si="13"/>
        <v>0</v>
      </c>
      <c r="R44" s="141">
        <f t="shared" si="13"/>
        <v>0</v>
      </c>
      <c r="S44" s="141">
        <f t="shared" si="13"/>
        <v>0</v>
      </c>
      <c r="T44" s="141">
        <f t="shared" si="13"/>
        <v>483.37000000000006</v>
      </c>
      <c r="U44" s="141">
        <f t="shared" si="13"/>
        <v>39625.210999999996</v>
      </c>
    </row>
    <row r="45" spans="1:21" ht="38.25" customHeight="1" x14ac:dyDescent="0.35">
      <c r="A45" s="171">
        <v>29</v>
      </c>
      <c r="B45" s="172" t="s">
        <v>113</v>
      </c>
      <c r="C45" s="139">
        <f>'[5]Aug 2023'!H45</f>
        <v>8467.9320999999982</v>
      </c>
      <c r="D45" s="139">
        <v>5.74</v>
      </c>
      <c r="E45" s="139">
        <f>'[5]Aug 2023'!E45+'[5]Sep 2023'!D45</f>
        <v>109.86</v>
      </c>
      <c r="F45" s="139">
        <v>0</v>
      </c>
      <c r="G45" s="139">
        <f>'[5]Aug 2023'!G45+'[5]Sep 2023'!F45</f>
        <v>0</v>
      </c>
      <c r="H45" s="139">
        <f t="shared" si="0"/>
        <v>8473.672099999998</v>
      </c>
      <c r="I45" s="139">
        <f>'[5]Aug 2023'!N45</f>
        <v>261.14999999999992</v>
      </c>
      <c r="J45" s="139">
        <v>0.35</v>
      </c>
      <c r="K45" s="139">
        <f>'[5]Aug 2023'!K45+'[5]Sep 2023'!J45</f>
        <v>0.44999999999999996</v>
      </c>
      <c r="L45" s="139">
        <v>0</v>
      </c>
      <c r="M45" s="139">
        <f>'[5]Aug 2023'!M45+'[5]Sep 2023'!L45</f>
        <v>0</v>
      </c>
      <c r="N45" s="139">
        <f t="shared" si="1"/>
        <v>261.49999999999994</v>
      </c>
      <c r="O45" s="139">
        <f>'[5]Aug 2023'!T45</f>
        <v>84.45</v>
      </c>
      <c r="P45" s="139">
        <v>0.08</v>
      </c>
      <c r="Q45" s="139">
        <f>'[5]Aug 2023'!Q45+'[5]Sep 2023'!P45</f>
        <v>0.14000000000000001</v>
      </c>
      <c r="R45" s="139">
        <v>0</v>
      </c>
      <c r="S45" s="139">
        <f>'[5]Aug 2023'!S45+'[5]Sep 2023'!R45</f>
        <v>0</v>
      </c>
      <c r="T45" s="139">
        <f t="shared" si="2"/>
        <v>84.53</v>
      </c>
      <c r="U45" s="139">
        <f t="shared" si="3"/>
        <v>8819.7020999999986</v>
      </c>
    </row>
    <row r="46" spans="1:21" ht="38.25" customHeight="1" x14ac:dyDescent="0.35">
      <c r="A46" s="171">
        <v>30</v>
      </c>
      <c r="B46" s="172" t="s">
        <v>114</v>
      </c>
      <c r="C46" s="139">
        <f>'[5]Aug 2023'!H46</f>
        <v>8085.635000000002</v>
      </c>
      <c r="D46" s="139">
        <v>24.69</v>
      </c>
      <c r="E46" s="139">
        <f>'[5]Aug 2023'!E46+'[5]Sep 2023'!D46</f>
        <v>163.09</v>
      </c>
      <c r="F46" s="139">
        <v>0</v>
      </c>
      <c r="G46" s="139">
        <f>'[5]Aug 2023'!G46+'[5]Sep 2023'!F46</f>
        <v>0</v>
      </c>
      <c r="H46" s="139">
        <f t="shared" si="0"/>
        <v>8110.3250000000016</v>
      </c>
      <c r="I46" s="139">
        <f>'[5]Aug 2023'!N46</f>
        <v>0</v>
      </c>
      <c r="J46" s="139">
        <v>0</v>
      </c>
      <c r="K46" s="139">
        <f>'[5]Aug 2023'!K46+'[5]Sep 2023'!J46</f>
        <v>0</v>
      </c>
      <c r="L46" s="139">
        <v>0</v>
      </c>
      <c r="M46" s="139">
        <f>'[5]Aug 2023'!M46+'[5]Sep 2023'!L46</f>
        <v>0</v>
      </c>
      <c r="N46" s="139">
        <f t="shared" si="1"/>
        <v>0</v>
      </c>
      <c r="O46" s="139">
        <f>'[5]Aug 2023'!T46</f>
        <v>47.03</v>
      </c>
      <c r="P46" s="139">
        <v>0</v>
      </c>
      <c r="Q46" s="139">
        <f>'[5]Aug 2023'!Q46+'[5]Sep 2023'!P46</f>
        <v>0</v>
      </c>
      <c r="R46" s="139">
        <v>0</v>
      </c>
      <c r="S46" s="139">
        <f>'[5]Aug 2023'!S46+'[5]Sep 2023'!R46</f>
        <v>0</v>
      </c>
      <c r="T46" s="139">
        <f t="shared" si="2"/>
        <v>47.03</v>
      </c>
      <c r="U46" s="139">
        <f t="shared" si="3"/>
        <v>8157.3550000000014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f>'[5]Aug 2023'!H47</f>
        <v>9357.4299999999948</v>
      </c>
      <c r="D47" s="139">
        <v>6.4</v>
      </c>
      <c r="E47" s="139">
        <f>'[5]Aug 2023'!E47+'[5]Sep 2023'!D47</f>
        <v>286.12999999999994</v>
      </c>
      <c r="F47" s="139">
        <v>0</v>
      </c>
      <c r="G47" s="139">
        <f>'[5]Aug 2023'!G47+'[5]Sep 2023'!F47</f>
        <v>0</v>
      </c>
      <c r="H47" s="139">
        <f t="shared" si="0"/>
        <v>9363.8299999999945</v>
      </c>
      <c r="I47" s="139">
        <f>'[5]Aug 2023'!N47</f>
        <v>3.13</v>
      </c>
      <c r="J47" s="139">
        <v>0</v>
      </c>
      <c r="K47" s="139">
        <f>'[5]Aug 2023'!K47+'[5]Sep 2023'!J47</f>
        <v>0</v>
      </c>
      <c r="L47" s="139">
        <v>0</v>
      </c>
      <c r="M47" s="139">
        <f>'[5]Aug 2023'!M47+'[5]Sep 2023'!L47</f>
        <v>0</v>
      </c>
      <c r="N47" s="139">
        <f t="shared" si="1"/>
        <v>3.13</v>
      </c>
      <c r="O47" s="139">
        <f>'[5]Aug 2023'!T47</f>
        <v>118.94999999999999</v>
      </c>
      <c r="P47" s="139">
        <v>0</v>
      </c>
      <c r="Q47" s="139">
        <f>'[5]Aug 2023'!Q47+'[5]Sep 2023'!P47</f>
        <v>0</v>
      </c>
      <c r="R47" s="139">
        <v>0</v>
      </c>
      <c r="S47" s="139">
        <f>'[5]Aug 2023'!S47+'[5]Sep 2023'!R47</f>
        <v>0</v>
      </c>
      <c r="T47" s="139">
        <f t="shared" si="2"/>
        <v>118.94999999999999</v>
      </c>
      <c r="U47" s="139">
        <f t="shared" si="3"/>
        <v>9485.9099999999944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f>'[5]Aug 2023'!H48</f>
        <v>8645.3589999999986</v>
      </c>
      <c r="D48" s="139">
        <v>2.4900000000000002</v>
      </c>
      <c r="E48" s="139">
        <f>'[5]Aug 2023'!E48+'[5]Sep 2023'!D48</f>
        <v>41.900000000000006</v>
      </c>
      <c r="F48" s="139">
        <v>0</v>
      </c>
      <c r="G48" s="139">
        <f>'[5]Aug 2023'!G48+'[5]Sep 2023'!F48</f>
        <v>0</v>
      </c>
      <c r="H48" s="139">
        <f t="shared" si="0"/>
        <v>8647.8489999999983</v>
      </c>
      <c r="I48" s="139">
        <f>'[5]Aug 2023'!N48</f>
        <v>5.0249999999999995</v>
      </c>
      <c r="J48" s="139">
        <v>0</v>
      </c>
      <c r="K48" s="139">
        <f>'[5]Aug 2023'!K48+'[5]Sep 2023'!J48</f>
        <v>0</v>
      </c>
      <c r="L48" s="139">
        <v>0</v>
      </c>
      <c r="M48" s="139">
        <f>'[5]Aug 2023'!M48+'[5]Sep 2023'!L48</f>
        <v>0</v>
      </c>
      <c r="N48" s="139">
        <f t="shared" si="1"/>
        <v>5.0249999999999995</v>
      </c>
      <c r="O48" s="139">
        <f>'[5]Aug 2023'!T48</f>
        <v>4.21</v>
      </c>
      <c r="P48" s="139">
        <v>0</v>
      </c>
      <c r="Q48" s="139">
        <f>'[5]Aug 2023'!Q48+'[5]Sep 2023'!P48</f>
        <v>0</v>
      </c>
      <c r="R48" s="139">
        <v>0</v>
      </c>
      <c r="S48" s="139">
        <f>'[5]Aug 2023'!S48+'[5]Sep 2023'!R48</f>
        <v>0</v>
      </c>
      <c r="T48" s="139">
        <f t="shared" si="2"/>
        <v>4.21</v>
      </c>
      <c r="U48" s="139">
        <f t="shared" si="3"/>
        <v>8657.0839999999971</v>
      </c>
    </row>
    <row r="49" spans="1:21" s="111" customFormat="1" ht="38.25" customHeight="1" x14ac:dyDescent="0.4">
      <c r="A49" s="240" t="s">
        <v>117</v>
      </c>
      <c r="B49" s="240"/>
      <c r="C49" s="141">
        <f>SUM(C45:C48)</f>
        <v>34556.35609999999</v>
      </c>
      <c r="D49" s="141">
        <f t="shared" ref="D49:U49" si="14">SUM(D45:D48)</f>
        <v>39.32</v>
      </c>
      <c r="E49" s="141">
        <f t="shared" si="14"/>
        <v>600.9799999999999</v>
      </c>
      <c r="F49" s="141">
        <f t="shared" si="14"/>
        <v>0</v>
      </c>
      <c r="G49" s="141">
        <f t="shared" si="14"/>
        <v>0</v>
      </c>
      <c r="H49" s="141">
        <f t="shared" si="14"/>
        <v>34595.676099999997</v>
      </c>
      <c r="I49" s="141">
        <f t="shared" si="14"/>
        <v>269.30499999999989</v>
      </c>
      <c r="J49" s="141">
        <f t="shared" si="14"/>
        <v>0.35</v>
      </c>
      <c r="K49" s="141">
        <f t="shared" si="14"/>
        <v>0.44999999999999996</v>
      </c>
      <c r="L49" s="141">
        <f t="shared" si="14"/>
        <v>0</v>
      </c>
      <c r="M49" s="141">
        <f t="shared" si="14"/>
        <v>0</v>
      </c>
      <c r="N49" s="141">
        <f t="shared" si="14"/>
        <v>269.65499999999992</v>
      </c>
      <c r="O49" s="141">
        <f t="shared" si="14"/>
        <v>254.64000000000001</v>
      </c>
      <c r="P49" s="141">
        <f t="shared" si="14"/>
        <v>0.08</v>
      </c>
      <c r="Q49" s="141">
        <f t="shared" si="14"/>
        <v>0.14000000000000001</v>
      </c>
      <c r="R49" s="141">
        <f t="shared" si="14"/>
        <v>0</v>
      </c>
      <c r="S49" s="141">
        <f t="shared" si="14"/>
        <v>0</v>
      </c>
      <c r="T49" s="141">
        <f t="shared" si="14"/>
        <v>254.72</v>
      </c>
      <c r="U49" s="141">
        <f t="shared" si="14"/>
        <v>35120.05109999999</v>
      </c>
    </row>
    <row r="50" spans="1:21" s="145" customFormat="1" ht="38.25" customHeight="1" x14ac:dyDescent="0.4">
      <c r="A50" s="243" t="s">
        <v>118</v>
      </c>
      <c r="B50" s="243"/>
      <c r="C50" s="141">
        <f>'[5]Aug 2023'!H50</f>
        <v>73411.682099999976</v>
      </c>
      <c r="D50" s="141">
        <f t="shared" ref="D50:U50" si="15">D49+D44</f>
        <v>99.314999999999998</v>
      </c>
      <c r="E50" s="141">
        <f>'[5]Aug 2023'!E50+'[5]Sep 2023'!D50</f>
        <v>1055.645</v>
      </c>
      <c r="F50" s="141">
        <f t="shared" si="15"/>
        <v>0</v>
      </c>
      <c r="G50" s="141">
        <f>'[5]Aug 2023'!G50+'[5]Sep 2023'!F50</f>
        <v>0</v>
      </c>
      <c r="H50" s="141">
        <f t="shared" si="15"/>
        <v>73510.997099999979</v>
      </c>
      <c r="I50" s="141">
        <f>'[5]Aug 2023'!N50</f>
        <v>495.82499999999987</v>
      </c>
      <c r="J50" s="141">
        <f t="shared" si="15"/>
        <v>0.35</v>
      </c>
      <c r="K50" s="141">
        <f>'[5]Aug 2023'!K50+'[5]Sep 2023'!J50</f>
        <v>0.44999999999999996</v>
      </c>
      <c r="L50" s="141">
        <f t="shared" si="15"/>
        <v>0</v>
      </c>
      <c r="M50" s="141">
        <f>'[5]Aug 2023'!M50+'[5]Sep 2023'!L50</f>
        <v>0</v>
      </c>
      <c r="N50" s="141">
        <f t="shared" si="15"/>
        <v>496.1749999999999</v>
      </c>
      <c r="O50" s="141">
        <f>'[5]Aug 2023'!T50</f>
        <v>738.0100000000001</v>
      </c>
      <c r="P50" s="141">
        <f t="shared" si="15"/>
        <v>0.08</v>
      </c>
      <c r="Q50" s="141">
        <f>'[5]Aug 2023'!Q50+'[5]Sep 2023'!P50</f>
        <v>0.14000000000000001</v>
      </c>
      <c r="R50" s="141">
        <f t="shared" si="15"/>
        <v>0</v>
      </c>
      <c r="S50" s="141">
        <f>'[5]Aug 2023'!S50+'[5]Sep 2023'!R50</f>
        <v>0</v>
      </c>
      <c r="T50" s="141">
        <f t="shared" si="15"/>
        <v>738.09</v>
      </c>
      <c r="U50" s="141">
        <f t="shared" si="15"/>
        <v>74745.262099999993</v>
      </c>
    </row>
    <row r="51" spans="1:21" s="146" customFormat="1" ht="38.25" customHeight="1" x14ac:dyDescent="0.4">
      <c r="A51" s="237" t="s">
        <v>119</v>
      </c>
      <c r="B51" s="237"/>
      <c r="C51" s="141">
        <f>C50+C39+C25</f>
        <v>120906.62089999997</v>
      </c>
      <c r="D51" s="141">
        <f t="shared" ref="D51:U51" si="16">D50+D39+D25</f>
        <v>227.923</v>
      </c>
      <c r="E51" s="141">
        <f t="shared" si="16"/>
        <v>1718.345</v>
      </c>
      <c r="F51" s="141">
        <f t="shared" si="16"/>
        <v>31</v>
      </c>
      <c r="G51" s="141">
        <f t="shared" si="16"/>
        <v>50.92</v>
      </c>
      <c r="H51" s="141">
        <f t="shared" si="16"/>
        <v>121103.54389999998</v>
      </c>
      <c r="I51" s="141">
        <f t="shared" si="16"/>
        <v>11199.757</v>
      </c>
      <c r="J51" s="141">
        <f t="shared" si="16"/>
        <v>39.825000000000003</v>
      </c>
      <c r="K51" s="141">
        <f t="shared" si="16"/>
        <v>331.18599999999998</v>
      </c>
      <c r="L51" s="141">
        <f t="shared" si="16"/>
        <v>0</v>
      </c>
      <c r="M51" s="141">
        <f t="shared" si="16"/>
        <v>0.49</v>
      </c>
      <c r="N51" s="141">
        <f t="shared" si="16"/>
        <v>11239.582</v>
      </c>
      <c r="O51" s="141">
        <f t="shared" si="16"/>
        <v>1597.47</v>
      </c>
      <c r="P51" s="141">
        <f t="shared" si="16"/>
        <v>0.86</v>
      </c>
      <c r="Q51" s="141">
        <f t="shared" si="16"/>
        <v>2.39</v>
      </c>
      <c r="R51" s="141">
        <f t="shared" si="16"/>
        <v>0.74</v>
      </c>
      <c r="S51" s="141">
        <f t="shared" si="16"/>
        <v>82.039999999999992</v>
      </c>
      <c r="T51" s="141">
        <f t="shared" si="16"/>
        <v>1597.5900000000001</v>
      </c>
      <c r="U51" s="141">
        <f t="shared" si="16"/>
        <v>133940.71590000001</v>
      </c>
    </row>
    <row r="52" spans="1:21" s="111" customFormat="1" ht="24" customHeight="1" x14ac:dyDescent="0.4">
      <c r="A52" s="115"/>
      <c r="B52" s="115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</row>
    <row r="53" spans="1:21" s="111" customFormat="1" ht="19.5" customHeight="1" x14ac:dyDescent="0.4">
      <c r="A53" s="115"/>
      <c r="B53" s="115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</row>
    <row r="54" spans="1:21" s="115" customFormat="1" ht="24.75" hidden="1" customHeight="1" x14ac:dyDescent="0.4">
      <c r="B54" s="174"/>
      <c r="C54" s="189" t="s">
        <v>54</v>
      </c>
      <c r="D54" s="189"/>
      <c r="E54" s="189"/>
      <c r="F54" s="189"/>
      <c r="G54" s="189"/>
      <c r="H54" s="118"/>
      <c r="I54" s="174"/>
      <c r="J54" s="174">
        <f>D51+J51+P51-F51-L51-R51</f>
        <v>236.86799999999999</v>
      </c>
      <c r="K54" s="174"/>
      <c r="L54" s="174"/>
      <c r="M54" s="174"/>
      <c r="N54" s="174"/>
      <c r="R54" s="174"/>
      <c r="U54" s="174"/>
    </row>
    <row r="55" spans="1:21" s="115" customFormat="1" ht="30" hidden="1" customHeight="1" x14ac:dyDescent="0.35">
      <c r="B55" s="174"/>
      <c r="C55" s="189" t="s">
        <v>55</v>
      </c>
      <c r="D55" s="189"/>
      <c r="E55" s="189"/>
      <c r="F55" s="189"/>
      <c r="G55" s="189"/>
      <c r="H55" s="119"/>
      <c r="I55" s="174"/>
      <c r="J55" s="174">
        <f>E51+K51+Q51-G51-M51-S51</f>
        <v>1918.4709999999998</v>
      </c>
      <c r="K55" s="174"/>
      <c r="L55" s="174"/>
      <c r="M55" s="174"/>
      <c r="N55" s="174"/>
      <c r="R55" s="174"/>
      <c r="T55" s="174"/>
    </row>
    <row r="56" spans="1:21" ht="33" hidden="1" customHeight="1" x14ac:dyDescent="0.5">
      <c r="C56" s="189" t="s">
        <v>56</v>
      </c>
      <c r="D56" s="189"/>
      <c r="E56" s="189"/>
      <c r="F56" s="189"/>
      <c r="G56" s="189"/>
      <c r="H56" s="119"/>
      <c r="I56" s="121"/>
      <c r="J56" s="174">
        <f>H51+N51+T51</f>
        <v>133940.71589999998</v>
      </c>
      <c r="K56" s="119"/>
      <c r="L56" s="119"/>
      <c r="M56" s="142" t="e">
        <f>#REF!+'Sep-2023'!J54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74"/>
      <c r="E57" s="174"/>
      <c r="F57" s="174"/>
      <c r="G57" s="174"/>
      <c r="H57" s="119"/>
      <c r="I57" s="121"/>
      <c r="J57" s="174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74"/>
      <c r="E58" s="174"/>
      <c r="F58" s="174"/>
      <c r="G58" s="174"/>
      <c r="H58" s="119"/>
      <c r="I58" s="121"/>
      <c r="J58" s="174"/>
      <c r="K58" s="119"/>
      <c r="L58" s="119"/>
      <c r="M58" s="142" t="e">
        <f>#REF!+'Sep-2023'!J54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32" t="s">
        <v>57</v>
      </c>
      <c r="C59" s="232"/>
      <c r="D59" s="232"/>
      <c r="E59" s="232"/>
      <c r="F59" s="232"/>
      <c r="G59" s="153"/>
      <c r="H59" s="154"/>
      <c r="I59" s="155"/>
      <c r="J59" s="234"/>
      <c r="K59" s="233"/>
      <c r="L59" s="233"/>
      <c r="M59" s="169" t="e">
        <f>#REF!+'Sep-2023'!J54</f>
        <v>#REF!</v>
      </c>
      <c r="N59" s="154"/>
      <c r="O59" s="154"/>
      <c r="P59" s="177"/>
      <c r="Q59" s="232" t="s">
        <v>58</v>
      </c>
      <c r="R59" s="232"/>
      <c r="S59" s="232"/>
      <c r="T59" s="232"/>
      <c r="U59" s="232"/>
    </row>
    <row r="60" spans="1:21" s="152" customFormat="1" ht="37.5" hidden="1" customHeight="1" x14ac:dyDescent="0.45">
      <c r="B60" s="232" t="s">
        <v>59</v>
      </c>
      <c r="C60" s="232"/>
      <c r="D60" s="232"/>
      <c r="E60" s="232"/>
      <c r="F60" s="232"/>
      <c r="G60" s="154"/>
      <c r="H60" s="153"/>
      <c r="I60" s="156"/>
      <c r="J60" s="157"/>
      <c r="K60" s="176"/>
      <c r="L60" s="157"/>
      <c r="M60" s="154"/>
      <c r="N60" s="153"/>
      <c r="O60" s="154"/>
      <c r="P60" s="177"/>
      <c r="Q60" s="232" t="s">
        <v>59</v>
      </c>
      <c r="R60" s="232"/>
      <c r="S60" s="232"/>
      <c r="T60" s="232"/>
      <c r="U60" s="232"/>
    </row>
    <row r="61" spans="1:21" s="152" customFormat="1" ht="37.5" hidden="1" customHeight="1" x14ac:dyDescent="0.45">
      <c r="I61" s="158"/>
      <c r="J61" s="233" t="s">
        <v>61</v>
      </c>
      <c r="K61" s="233"/>
      <c r="L61" s="233"/>
      <c r="M61" s="159" t="e">
        <f>#REF!+'Sep-2023'!J54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#REF!+'Sep-2023'!J54</f>
        <v>#REF!</v>
      </c>
      <c r="I62" s="158"/>
      <c r="J62" s="233" t="s">
        <v>62</v>
      </c>
      <c r="K62" s="233"/>
      <c r="L62" s="233"/>
      <c r="M62" s="159" t="e">
        <f>#REF!+'Sep-2023'!J54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R5:S5"/>
    <mergeCell ref="T5:T6"/>
    <mergeCell ref="I5:I6"/>
    <mergeCell ref="J5:K5"/>
    <mergeCell ref="L5:M5"/>
    <mergeCell ref="N5:N6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1:B11"/>
    <mergeCell ref="F5:G5"/>
    <mergeCell ref="H5:H6"/>
    <mergeCell ref="B60:F60"/>
    <mergeCell ref="Q60:U60"/>
    <mergeCell ref="J61:L61"/>
    <mergeCell ref="J62:L62"/>
    <mergeCell ref="C54:G54"/>
    <mergeCell ref="C55:G55"/>
    <mergeCell ref="C56:G56"/>
    <mergeCell ref="B59:F59"/>
    <mergeCell ref="J59:L59"/>
    <mergeCell ref="Q59:U59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topLeftCell="H1" zoomScale="48" zoomScaleNormal="48" workbookViewId="0">
      <pane ySplit="6" topLeftCell="A7" activePane="bottomLeft" state="frozen"/>
      <selection pane="bottomLeft" activeCell="C7" sqref="C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46" t="s">
        <v>123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</row>
    <row r="2" spans="1:21" ht="54" customHeight="1" x14ac:dyDescent="0.35">
      <c r="A2" s="248" t="s">
        <v>139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1" ht="32.25" customHeight="1" x14ac:dyDescent="0.35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</row>
    <row r="4" spans="1:21" s="108" customFormat="1" ht="43.5" customHeight="1" x14ac:dyDescent="0.25">
      <c r="A4" s="250" t="s">
        <v>122</v>
      </c>
      <c r="B4" s="235" t="s">
        <v>121</v>
      </c>
      <c r="C4" s="192" t="s">
        <v>131</v>
      </c>
      <c r="D4" s="193"/>
      <c r="E4" s="193"/>
      <c r="F4" s="193"/>
      <c r="G4" s="193"/>
      <c r="H4" s="193"/>
      <c r="I4" s="192" t="s">
        <v>130</v>
      </c>
      <c r="J4" s="193"/>
      <c r="K4" s="193"/>
      <c r="L4" s="193"/>
      <c r="M4" s="193"/>
      <c r="N4" s="193"/>
      <c r="O4" s="192" t="s">
        <v>129</v>
      </c>
      <c r="P4" s="193"/>
      <c r="Q4" s="193"/>
      <c r="R4" s="193"/>
      <c r="S4" s="193"/>
      <c r="T4" s="193"/>
      <c r="U4" s="178"/>
    </row>
    <row r="5" spans="1:21" s="108" customFormat="1" ht="54.75" customHeight="1" x14ac:dyDescent="0.25">
      <c r="A5" s="252"/>
      <c r="B5" s="253"/>
      <c r="C5" s="244" t="s">
        <v>6</v>
      </c>
      <c r="D5" s="238" t="s">
        <v>127</v>
      </c>
      <c r="E5" s="239"/>
      <c r="F5" s="238" t="s">
        <v>126</v>
      </c>
      <c r="G5" s="239"/>
      <c r="H5" s="244" t="s">
        <v>9</v>
      </c>
      <c r="I5" s="244" t="s">
        <v>6</v>
      </c>
      <c r="J5" s="238" t="s">
        <v>127</v>
      </c>
      <c r="K5" s="239"/>
      <c r="L5" s="238" t="s">
        <v>126</v>
      </c>
      <c r="M5" s="239"/>
      <c r="N5" s="244" t="s">
        <v>9</v>
      </c>
      <c r="O5" s="244" t="s">
        <v>6</v>
      </c>
      <c r="P5" s="238" t="s">
        <v>127</v>
      </c>
      <c r="Q5" s="239"/>
      <c r="R5" s="238" t="s">
        <v>126</v>
      </c>
      <c r="S5" s="239"/>
      <c r="T5" s="244" t="s">
        <v>9</v>
      </c>
      <c r="U5" s="235" t="s">
        <v>128</v>
      </c>
    </row>
    <row r="6" spans="1:21" s="108" customFormat="1" ht="38.25" customHeight="1" x14ac:dyDescent="0.25">
      <c r="A6" s="252"/>
      <c r="B6" s="236"/>
      <c r="C6" s="245"/>
      <c r="D6" s="172" t="s">
        <v>124</v>
      </c>
      <c r="E6" s="172" t="s">
        <v>125</v>
      </c>
      <c r="F6" s="172" t="s">
        <v>124</v>
      </c>
      <c r="G6" s="172" t="s">
        <v>125</v>
      </c>
      <c r="H6" s="245"/>
      <c r="I6" s="245"/>
      <c r="J6" s="172" t="s">
        <v>124</v>
      </c>
      <c r="K6" s="172" t="s">
        <v>125</v>
      </c>
      <c r="L6" s="172" t="s">
        <v>124</v>
      </c>
      <c r="M6" s="172" t="s">
        <v>125</v>
      </c>
      <c r="N6" s="245"/>
      <c r="O6" s="245"/>
      <c r="P6" s="172" t="s">
        <v>124</v>
      </c>
      <c r="Q6" s="172" t="s">
        <v>125</v>
      </c>
      <c r="R6" s="172" t="s">
        <v>124</v>
      </c>
      <c r="S6" s="172" t="s">
        <v>125</v>
      </c>
      <c r="T6" s="245"/>
      <c r="U6" s="236"/>
    </row>
    <row r="7" spans="1:21" ht="38.25" customHeight="1" x14ac:dyDescent="0.35">
      <c r="A7" s="171">
        <v>1</v>
      </c>
      <c r="B7" s="172" t="s">
        <v>78</v>
      </c>
      <c r="C7" s="139">
        <f>'[6]Sep 2023'!H7</f>
        <v>7.179999999999982</v>
      </c>
      <c r="D7" s="139">
        <v>0</v>
      </c>
      <c r="E7" s="139">
        <f>'[6]Sep 2023'!E7+'[6]Oct-2023'!D7</f>
        <v>0</v>
      </c>
      <c r="F7" s="139">
        <v>0</v>
      </c>
      <c r="G7" s="139">
        <f>'[6]Sep 2023'!G7+'[6]Oct-2023'!F7</f>
        <v>0</v>
      </c>
      <c r="H7" s="139">
        <f>C7+D7-F7</f>
        <v>7.179999999999982</v>
      </c>
      <c r="I7" s="139">
        <f>'[6]Sep 2023'!N7</f>
        <v>725.73699999999974</v>
      </c>
      <c r="J7" s="139">
        <v>1.22</v>
      </c>
      <c r="K7" s="139">
        <f>'[6]Sep 2023'!K7+'[6]Oct-2023'!J7</f>
        <v>12.500000000000002</v>
      </c>
      <c r="L7" s="139">
        <v>0</v>
      </c>
      <c r="M7" s="139">
        <f>'[6]Sep 2023'!M7+'[6]Oct-2023'!L7</f>
        <v>0</v>
      </c>
      <c r="N7" s="139">
        <f>I7+J7-L7</f>
        <v>726.95699999999977</v>
      </c>
      <c r="O7" s="139">
        <f>'[6]Sep 2023'!T7</f>
        <v>8.436000000000007</v>
      </c>
      <c r="P7" s="139">
        <v>0</v>
      </c>
      <c r="Q7" s="139">
        <f>'[6]Sep 2023'!Q7+'[6]Oct-2023'!P7</f>
        <v>0</v>
      </c>
      <c r="R7" s="139">
        <v>0</v>
      </c>
      <c r="S7" s="139">
        <f>'[6]Sep 2023'!S7+'[6]Oct-2023'!R7</f>
        <v>0</v>
      </c>
      <c r="T7" s="139">
        <f>O7+P7-R7</f>
        <v>8.436000000000007</v>
      </c>
      <c r="U7" s="139">
        <f>H7+N7+T7</f>
        <v>742.57299999999975</v>
      </c>
    </row>
    <row r="8" spans="1:21" ht="38.25" customHeight="1" x14ac:dyDescent="0.35">
      <c r="A8" s="171">
        <v>2</v>
      </c>
      <c r="B8" s="172" t="s">
        <v>79</v>
      </c>
      <c r="C8" s="139">
        <f>'[6]Sep 2023'!H8</f>
        <v>265.98999999999995</v>
      </c>
      <c r="D8" s="139">
        <v>0</v>
      </c>
      <c r="E8" s="139">
        <f>'[6]Sep 2023'!E8+'[6]Oct-2023'!D8</f>
        <v>0</v>
      </c>
      <c r="F8" s="139">
        <v>0</v>
      </c>
      <c r="G8" s="139">
        <f>'[6]Sep 2023'!G8+'[6]Oct-2023'!F8</f>
        <v>0</v>
      </c>
      <c r="H8" s="139">
        <f t="shared" ref="H8:H48" si="0">C8+D8-F8</f>
        <v>265.98999999999995</v>
      </c>
      <c r="I8" s="139">
        <f>'[6]Sep 2023'!N8</f>
        <v>477.51600000000013</v>
      </c>
      <c r="J8" s="139">
        <v>5.72</v>
      </c>
      <c r="K8" s="139">
        <f>'[6]Sep 2023'!K8+'[6]Oct-2023'!J8</f>
        <v>85.09</v>
      </c>
      <c r="L8" s="139">
        <v>0</v>
      </c>
      <c r="M8" s="139">
        <f>'[6]Sep 2023'!M8+'[6]Oct-2023'!L8</f>
        <v>0</v>
      </c>
      <c r="N8" s="139">
        <f t="shared" ref="N8:N48" si="1">I8+J8-L8</f>
        <v>483.23600000000016</v>
      </c>
      <c r="O8" s="139">
        <f>'[6]Sep 2023'!T8</f>
        <v>66.290000000000006</v>
      </c>
      <c r="P8" s="139">
        <v>0</v>
      </c>
      <c r="Q8" s="139">
        <f>'[6]Sep 2023'!Q8+'[6]Oct-2023'!P8</f>
        <v>0</v>
      </c>
      <c r="R8" s="139">
        <v>0</v>
      </c>
      <c r="S8" s="139">
        <f>'[6]Sep 2023'!S8+'[6]Oct-2023'!R8</f>
        <v>0</v>
      </c>
      <c r="T8" s="139">
        <f t="shared" ref="T8:T48" si="2">O8+P8-R8</f>
        <v>66.290000000000006</v>
      </c>
      <c r="U8" s="139">
        <f t="shared" ref="U8:U48" si="3">H8+N8+T8</f>
        <v>815.51600000000008</v>
      </c>
    </row>
    <row r="9" spans="1:21" ht="38.25" customHeight="1" x14ac:dyDescent="0.35">
      <c r="A9" s="171">
        <v>3</v>
      </c>
      <c r="B9" s="172" t="s">
        <v>80</v>
      </c>
      <c r="C9" s="139">
        <f>'[6]Sep 2023'!H9</f>
        <v>209.16</v>
      </c>
      <c r="D9" s="139">
        <v>0</v>
      </c>
      <c r="E9" s="139">
        <f>'[6]Sep 2023'!E9+'[6]Oct-2023'!D9</f>
        <v>0</v>
      </c>
      <c r="F9" s="139">
        <v>0</v>
      </c>
      <c r="G9" s="139">
        <f>'[6]Sep 2023'!G9+'[6]Oct-2023'!F9</f>
        <v>0</v>
      </c>
      <c r="H9" s="139">
        <f t="shared" si="0"/>
        <v>209.16</v>
      </c>
      <c r="I9" s="139">
        <f>'[6]Sep 2023'!N9</f>
        <v>938.82799999999986</v>
      </c>
      <c r="J9" s="139">
        <v>4.8600000000000003</v>
      </c>
      <c r="K9" s="139">
        <f>'[6]Sep 2023'!K9+'[6]Oct-2023'!J9</f>
        <v>40.44</v>
      </c>
      <c r="L9" s="139">
        <v>0</v>
      </c>
      <c r="M9" s="139">
        <f>'[6]Sep 2023'!M9+'[6]Oct-2023'!L9</f>
        <v>0</v>
      </c>
      <c r="N9" s="139">
        <f t="shared" si="1"/>
        <v>943.68799999999987</v>
      </c>
      <c r="O9" s="139">
        <f>'[6]Sep 2023'!T9</f>
        <v>44.739999999999995</v>
      </c>
      <c r="P9" s="139">
        <v>0</v>
      </c>
      <c r="Q9" s="139">
        <f>'[6]Sep 2023'!Q9+'[6]Oct-2023'!P9</f>
        <v>0</v>
      </c>
      <c r="R9" s="139">
        <v>0</v>
      </c>
      <c r="S9" s="139">
        <f>'[6]Sep 2023'!S9+'[6]Oct-2023'!R9</f>
        <v>0</v>
      </c>
      <c r="T9" s="139">
        <f t="shared" si="2"/>
        <v>44.739999999999995</v>
      </c>
      <c r="U9" s="139">
        <f t="shared" si="3"/>
        <v>1197.588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f>'[6]Sep 2023'!H10</f>
        <v>0</v>
      </c>
      <c r="D10" s="139">
        <v>0</v>
      </c>
      <c r="E10" s="139">
        <f>'[6]Sep 2023'!E10+'[6]Oct-2023'!D10</f>
        <v>0</v>
      </c>
      <c r="F10" s="139">
        <v>0</v>
      </c>
      <c r="G10" s="139">
        <f>'[6]Sep 2023'!G10+'[6]Oct-2023'!F10</f>
        <v>0</v>
      </c>
      <c r="H10" s="139">
        <f t="shared" si="0"/>
        <v>0</v>
      </c>
      <c r="I10" s="139">
        <f>'[6]Sep 2023'!N10</f>
        <v>371.60099999999989</v>
      </c>
      <c r="J10" s="139">
        <v>0.96</v>
      </c>
      <c r="K10" s="139">
        <f>'[6]Sep 2023'!K10+'[6]Oct-2023'!J10</f>
        <v>7.5880000000000001</v>
      </c>
      <c r="L10" s="139">
        <v>0</v>
      </c>
      <c r="M10" s="139">
        <f>'[6]Sep 2023'!M10+'[6]Oct-2023'!L10</f>
        <v>0</v>
      </c>
      <c r="N10" s="139">
        <f t="shared" si="1"/>
        <v>372.56099999999986</v>
      </c>
      <c r="O10" s="139">
        <f>'[6]Sep 2023'!T10</f>
        <v>0.20000000000000007</v>
      </c>
      <c r="P10" s="139">
        <v>0</v>
      </c>
      <c r="Q10" s="139">
        <f>'[6]Sep 2023'!Q10+'[6]Oct-2023'!P10</f>
        <v>0</v>
      </c>
      <c r="R10" s="139">
        <v>0</v>
      </c>
      <c r="S10" s="139">
        <f>'[6]Sep 2023'!S10+'[6]Oct-2023'!R10</f>
        <v>0</v>
      </c>
      <c r="T10" s="139">
        <f t="shared" si="2"/>
        <v>0.20000000000000007</v>
      </c>
      <c r="U10" s="139">
        <f t="shared" si="3"/>
        <v>372.76099999999985</v>
      </c>
    </row>
    <row r="11" spans="1:21" s="111" customFormat="1" ht="38.25" customHeight="1" x14ac:dyDescent="0.4">
      <c r="A11" s="238" t="s">
        <v>82</v>
      </c>
      <c r="B11" s="239"/>
      <c r="C11" s="141">
        <f>SUM(C7:C10)</f>
        <v>482.32999999999993</v>
      </c>
      <c r="D11" s="141">
        <f t="shared" ref="D11:U11" si="4">SUM(D7:D10)</f>
        <v>0</v>
      </c>
      <c r="E11" s="141">
        <f t="shared" si="4"/>
        <v>0</v>
      </c>
      <c r="F11" s="141">
        <f t="shared" si="4"/>
        <v>0</v>
      </c>
      <c r="G11" s="141">
        <f t="shared" si="4"/>
        <v>0</v>
      </c>
      <c r="H11" s="141">
        <f t="shared" si="4"/>
        <v>482.32999999999993</v>
      </c>
      <c r="I11" s="141">
        <f t="shared" si="4"/>
        <v>2513.6819999999998</v>
      </c>
      <c r="J11" s="141">
        <f t="shared" si="4"/>
        <v>12.760000000000002</v>
      </c>
      <c r="K11" s="141">
        <f t="shared" si="4"/>
        <v>145.61799999999999</v>
      </c>
      <c r="L11" s="141">
        <f t="shared" si="4"/>
        <v>0</v>
      </c>
      <c r="M11" s="141">
        <f t="shared" si="4"/>
        <v>0</v>
      </c>
      <c r="N11" s="141">
        <f t="shared" si="4"/>
        <v>2526.4419999999996</v>
      </c>
      <c r="O11" s="141">
        <f t="shared" si="4"/>
        <v>119.66600000000001</v>
      </c>
      <c r="P11" s="141">
        <f t="shared" si="4"/>
        <v>0</v>
      </c>
      <c r="Q11" s="141">
        <f t="shared" si="4"/>
        <v>0</v>
      </c>
      <c r="R11" s="141">
        <f t="shared" si="4"/>
        <v>0</v>
      </c>
      <c r="S11" s="141">
        <f t="shared" si="4"/>
        <v>0</v>
      </c>
      <c r="T11" s="141">
        <f t="shared" si="4"/>
        <v>119.66600000000001</v>
      </c>
      <c r="U11" s="141">
        <f t="shared" si="4"/>
        <v>3128.4379999999996</v>
      </c>
    </row>
    <row r="12" spans="1:21" ht="38.25" customHeight="1" x14ac:dyDescent="0.35">
      <c r="A12" s="171">
        <v>4</v>
      </c>
      <c r="B12" s="172" t="s">
        <v>83</v>
      </c>
      <c r="C12" s="139">
        <f>'[6]Sep 2023'!H12</f>
        <v>22.179999999999609</v>
      </c>
      <c r="D12" s="139">
        <v>0</v>
      </c>
      <c r="E12" s="139">
        <f>'[6]Sep 2023'!E12+'[6]Oct-2023'!D12</f>
        <v>0</v>
      </c>
      <c r="F12" s="139">
        <v>0</v>
      </c>
      <c r="G12" s="139">
        <f>'[6]Sep 2023'!G12+'[6]Oct-2023'!F12</f>
        <v>0</v>
      </c>
      <c r="H12" s="139">
        <f t="shared" si="0"/>
        <v>22.179999999999609</v>
      </c>
      <c r="I12" s="139">
        <f>'[6]Sep 2023'!N12</f>
        <v>1293.7549999999997</v>
      </c>
      <c r="J12" s="182">
        <v>1.51</v>
      </c>
      <c r="K12" s="139">
        <f>'[6]Sep 2023'!K12+'[6]Oct-2023'!J12</f>
        <v>18.830000000000002</v>
      </c>
      <c r="L12" s="139">
        <v>0</v>
      </c>
      <c r="M12" s="139">
        <f>'[6]Sep 2023'!M12+'[6]Oct-2023'!L12</f>
        <v>0</v>
      </c>
      <c r="N12" s="139">
        <f t="shared" si="1"/>
        <v>1295.2649999999996</v>
      </c>
      <c r="O12" s="139">
        <f>'[6]Sep 2023'!T12</f>
        <v>1.9700000000000095</v>
      </c>
      <c r="P12" s="139">
        <v>0</v>
      </c>
      <c r="Q12" s="139">
        <f>'[6]Sep 2023'!Q12+'[6]Oct-2023'!P12</f>
        <v>0</v>
      </c>
      <c r="R12" s="139">
        <v>0</v>
      </c>
      <c r="S12" s="139">
        <f>'[6]Sep 2023'!S12+'[6]Oct-2023'!R12</f>
        <v>0</v>
      </c>
      <c r="T12" s="139">
        <f t="shared" si="2"/>
        <v>1.9700000000000095</v>
      </c>
      <c r="U12" s="139">
        <f t="shared" si="3"/>
        <v>1319.4149999999993</v>
      </c>
    </row>
    <row r="13" spans="1:21" ht="38.25" customHeight="1" x14ac:dyDescent="0.35">
      <c r="A13" s="171">
        <v>5</v>
      </c>
      <c r="B13" s="172" t="s">
        <v>84</v>
      </c>
      <c r="C13" s="139">
        <f>'[6]Sep 2023'!H13</f>
        <v>312.23000000000013</v>
      </c>
      <c r="D13" s="139">
        <v>0</v>
      </c>
      <c r="E13" s="139">
        <f>'[6]Sep 2023'!E13+'[6]Oct-2023'!D13</f>
        <v>0</v>
      </c>
      <c r="F13" s="139">
        <v>0</v>
      </c>
      <c r="G13" s="139">
        <f>'[6]Sep 2023'!G13+'[6]Oct-2023'!F13</f>
        <v>0</v>
      </c>
      <c r="H13" s="139">
        <f t="shared" si="0"/>
        <v>312.23000000000013</v>
      </c>
      <c r="I13" s="139">
        <f>'[6]Sep 2023'!N13</f>
        <v>556.06200000000024</v>
      </c>
      <c r="J13" s="182">
        <v>1.4</v>
      </c>
      <c r="K13" s="139">
        <f>'[6]Sep 2023'!K13+'[6]Oct-2023'!J13</f>
        <v>11.930000000000001</v>
      </c>
      <c r="L13" s="139">
        <v>0</v>
      </c>
      <c r="M13" s="139">
        <f>'[6]Sep 2023'!M13+'[6]Oct-2023'!L13</f>
        <v>0</v>
      </c>
      <c r="N13" s="139">
        <f t="shared" si="1"/>
        <v>557.46200000000022</v>
      </c>
      <c r="O13" s="139">
        <f>'[6]Sep 2023'!T13</f>
        <v>68.39</v>
      </c>
      <c r="P13" s="139">
        <v>0</v>
      </c>
      <c r="Q13" s="139">
        <f>'[6]Sep 2023'!Q13+'[6]Oct-2023'!P13</f>
        <v>0</v>
      </c>
      <c r="R13" s="139">
        <v>0</v>
      </c>
      <c r="S13" s="139">
        <f>'[6]Sep 2023'!S13+'[6]Oct-2023'!R13</f>
        <v>0</v>
      </c>
      <c r="T13" s="139">
        <f t="shared" si="2"/>
        <v>68.39</v>
      </c>
      <c r="U13" s="139">
        <f t="shared" si="3"/>
        <v>938.08200000000033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f>'[6]Sep 2023'!H14</f>
        <v>1216.4399999999994</v>
      </c>
      <c r="D14" s="139">
        <v>0</v>
      </c>
      <c r="E14" s="139">
        <f>'[6]Sep 2023'!E14+'[6]Oct-2023'!D14</f>
        <v>0</v>
      </c>
      <c r="F14" s="139">
        <v>0</v>
      </c>
      <c r="G14" s="139">
        <f>'[6]Sep 2023'!G14+'[6]Oct-2023'!F14</f>
        <v>0</v>
      </c>
      <c r="H14" s="139">
        <f t="shared" si="0"/>
        <v>1216.4399999999994</v>
      </c>
      <c r="I14" s="139">
        <f>'[6]Sep 2023'!N14</f>
        <v>931.89800000000037</v>
      </c>
      <c r="J14" s="182">
        <v>2.85</v>
      </c>
      <c r="K14" s="139">
        <f>'[6]Sep 2023'!K14+'[6]Oct-2023'!J14</f>
        <v>31.25</v>
      </c>
      <c r="L14" s="139">
        <v>0</v>
      </c>
      <c r="M14" s="139">
        <f>'[6]Sep 2023'!M14+'[6]Oct-2023'!L14</f>
        <v>0</v>
      </c>
      <c r="N14" s="139">
        <f t="shared" si="1"/>
        <v>934.74800000000039</v>
      </c>
      <c r="O14" s="139">
        <f>'[6]Sep 2023'!T14</f>
        <v>61.329999999999991</v>
      </c>
      <c r="P14" s="139">
        <v>0</v>
      </c>
      <c r="Q14" s="139">
        <f>'[6]Sep 2023'!Q14+'[6]Oct-2023'!P14</f>
        <v>0</v>
      </c>
      <c r="R14" s="139">
        <v>0</v>
      </c>
      <c r="S14" s="139">
        <f>'[6]Sep 2023'!S14+'[6]Oct-2023'!R14</f>
        <v>0</v>
      </c>
      <c r="T14" s="139">
        <f t="shared" si="2"/>
        <v>61.329999999999991</v>
      </c>
      <c r="U14" s="139">
        <f t="shared" si="3"/>
        <v>2212.5179999999996</v>
      </c>
    </row>
    <row r="15" spans="1:21" s="111" customFormat="1" ht="38.25" customHeight="1" x14ac:dyDescent="0.4">
      <c r="A15" s="238" t="s">
        <v>86</v>
      </c>
      <c r="B15" s="239"/>
      <c r="C15" s="141">
        <f>SUM(C12:C14)</f>
        <v>1550.849999999999</v>
      </c>
      <c r="D15" s="141">
        <f t="shared" ref="D15:U15" si="5">SUM(D12:D14)</f>
        <v>0</v>
      </c>
      <c r="E15" s="141">
        <f t="shared" si="5"/>
        <v>0</v>
      </c>
      <c r="F15" s="141">
        <f t="shared" si="5"/>
        <v>0</v>
      </c>
      <c r="G15" s="141">
        <f t="shared" si="5"/>
        <v>0</v>
      </c>
      <c r="H15" s="141">
        <f t="shared" si="5"/>
        <v>1550.849999999999</v>
      </c>
      <c r="I15" s="141">
        <f t="shared" si="5"/>
        <v>2781.7150000000001</v>
      </c>
      <c r="J15" s="141">
        <f t="shared" si="5"/>
        <v>5.76</v>
      </c>
      <c r="K15" s="141">
        <f t="shared" si="5"/>
        <v>62.010000000000005</v>
      </c>
      <c r="L15" s="141">
        <f t="shared" si="5"/>
        <v>0</v>
      </c>
      <c r="M15" s="141">
        <f t="shared" si="5"/>
        <v>0</v>
      </c>
      <c r="N15" s="141">
        <f t="shared" si="5"/>
        <v>2787.4750000000004</v>
      </c>
      <c r="O15" s="141">
        <f t="shared" si="5"/>
        <v>131.69</v>
      </c>
      <c r="P15" s="141">
        <f t="shared" si="5"/>
        <v>0</v>
      </c>
      <c r="Q15" s="141">
        <f t="shared" si="5"/>
        <v>0</v>
      </c>
      <c r="R15" s="141">
        <f t="shared" si="5"/>
        <v>0</v>
      </c>
      <c r="S15" s="141">
        <f t="shared" si="5"/>
        <v>0</v>
      </c>
      <c r="T15" s="141">
        <f t="shared" si="5"/>
        <v>131.69</v>
      </c>
      <c r="U15" s="141">
        <f t="shared" si="5"/>
        <v>4470.0149999999994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f>'[6]Sep 2023'!H16</f>
        <v>759.38400000000047</v>
      </c>
      <c r="D16" s="139">
        <v>1.59</v>
      </c>
      <c r="E16" s="139">
        <f>'[6]Sep 2023'!E16+'[6]Oct-2023'!D16</f>
        <v>11.339999999999998</v>
      </c>
      <c r="F16" s="139">
        <v>0.71</v>
      </c>
      <c r="G16" s="139">
        <f>'[6]Sep 2023'!G16+'[6]Oct-2023'!F16</f>
        <v>7.24</v>
      </c>
      <c r="H16" s="139">
        <f t="shared" si="0"/>
        <v>760.26400000000046</v>
      </c>
      <c r="I16" s="139">
        <f>'[6]Sep 2023'!N16</f>
        <v>584.29600000000016</v>
      </c>
      <c r="J16" s="139">
        <v>1.37</v>
      </c>
      <c r="K16" s="139">
        <f>'[6]Sep 2023'!K16+'[6]Oct-2023'!J16</f>
        <v>8.6900000000000013</v>
      </c>
      <c r="L16" s="139">
        <v>0</v>
      </c>
      <c r="M16" s="139">
        <f>'[6]Sep 2023'!M16+'[6]Oct-2023'!L16</f>
        <v>0</v>
      </c>
      <c r="N16" s="139">
        <f t="shared" si="1"/>
        <v>585.66600000000017</v>
      </c>
      <c r="O16" s="139">
        <f>'[6]Sep 2023'!T16</f>
        <v>113.35200000000005</v>
      </c>
      <c r="P16" s="139">
        <v>0.11</v>
      </c>
      <c r="Q16" s="139">
        <f>'[6]Sep 2023'!Q16+'[6]Oct-2023'!P16</f>
        <v>0.19</v>
      </c>
      <c r="R16" s="139">
        <v>0</v>
      </c>
      <c r="S16" s="139">
        <f>'[6]Sep 2023'!S16+'[6]Oct-2023'!R16</f>
        <v>64.17</v>
      </c>
      <c r="T16" s="139">
        <f t="shared" si="2"/>
        <v>113.46200000000005</v>
      </c>
      <c r="U16" s="139">
        <f t="shared" si="3"/>
        <v>1459.3920000000007</v>
      </c>
    </row>
    <row r="17" spans="1:21" ht="38.25" customHeight="1" x14ac:dyDescent="0.35">
      <c r="A17" s="171">
        <v>9</v>
      </c>
      <c r="B17" s="172" t="s">
        <v>120</v>
      </c>
      <c r="C17" s="139">
        <f>'[6]Sep 2023'!H17</f>
        <v>2.7259999999999476</v>
      </c>
      <c r="D17" s="139">
        <v>0</v>
      </c>
      <c r="E17" s="139">
        <f>'[6]Sep 2023'!E17+'[6]Oct-2023'!D17</f>
        <v>0.05</v>
      </c>
      <c r="F17" s="139">
        <v>0</v>
      </c>
      <c r="G17" s="139">
        <f>'[6]Sep 2023'!G17+'[6]Oct-2023'!F17</f>
        <v>0</v>
      </c>
      <c r="H17" s="139">
        <f t="shared" si="0"/>
        <v>2.7259999999999476</v>
      </c>
      <c r="I17" s="139">
        <f>'[6]Sep 2023'!N17</f>
        <v>606.80000000000007</v>
      </c>
      <c r="J17" s="139">
        <v>2.65</v>
      </c>
      <c r="K17" s="139">
        <f>'[6]Sep 2023'!K17+'[6]Oct-2023'!J17</f>
        <v>20.759999999999998</v>
      </c>
      <c r="L17" s="139">
        <v>0</v>
      </c>
      <c r="M17" s="139">
        <f>'[6]Sep 2023'!M17+'[6]Oct-2023'!L17</f>
        <v>0.43</v>
      </c>
      <c r="N17" s="139">
        <f t="shared" si="1"/>
        <v>609.45000000000005</v>
      </c>
      <c r="O17" s="139">
        <f>'[6]Sep 2023'!T17</f>
        <v>1.5399999999999998</v>
      </c>
      <c r="P17" s="139">
        <v>0</v>
      </c>
      <c r="Q17" s="139">
        <f>'[6]Sep 2023'!Q17+'[6]Oct-2023'!P17</f>
        <v>1.22</v>
      </c>
      <c r="R17" s="139">
        <v>0</v>
      </c>
      <c r="S17" s="139">
        <f>'[6]Sep 2023'!S17+'[6]Oct-2023'!R17</f>
        <v>1.63</v>
      </c>
      <c r="T17" s="139">
        <f t="shared" si="2"/>
        <v>1.5399999999999998</v>
      </c>
      <c r="U17" s="139">
        <f t="shared" si="3"/>
        <v>613.71600000000001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f>'[6]Sep 2023'!H18</f>
        <v>90.266000000000147</v>
      </c>
      <c r="D18" s="139">
        <v>0</v>
      </c>
      <c r="E18" s="139">
        <f>'[6]Sep 2023'!E18+'[6]Oct-2023'!D18</f>
        <v>0.05</v>
      </c>
      <c r="F18" s="139">
        <v>0</v>
      </c>
      <c r="G18" s="139">
        <f>'[6]Sep 2023'!G18+'[6]Oct-2023'!F18</f>
        <v>0.05</v>
      </c>
      <c r="H18" s="139">
        <f t="shared" si="0"/>
        <v>90.266000000000147</v>
      </c>
      <c r="I18" s="139">
        <f>'[6]Sep 2023'!N18</f>
        <v>623.67000000000007</v>
      </c>
      <c r="J18" s="139">
        <v>1.36</v>
      </c>
      <c r="K18" s="139">
        <f>'[6]Sep 2023'!K18+'[6]Oct-2023'!J18</f>
        <v>7.7350000000000003</v>
      </c>
      <c r="L18" s="139">
        <v>0</v>
      </c>
      <c r="M18" s="139">
        <f>'[6]Sep 2023'!M18+'[6]Oct-2023'!L18</f>
        <v>0</v>
      </c>
      <c r="N18" s="139">
        <f t="shared" si="1"/>
        <v>625.03000000000009</v>
      </c>
      <c r="O18" s="139">
        <f>'[6]Sep 2023'!T18</f>
        <v>35.689999999999991</v>
      </c>
      <c r="P18" s="139">
        <v>0</v>
      </c>
      <c r="Q18" s="139">
        <f>'[6]Sep 2023'!Q18+'[6]Oct-2023'!P18</f>
        <v>0</v>
      </c>
      <c r="R18" s="139">
        <v>0</v>
      </c>
      <c r="S18" s="139">
        <f>'[6]Sep 2023'!S18+'[6]Oct-2023'!R18</f>
        <v>0</v>
      </c>
      <c r="T18" s="139">
        <f t="shared" si="2"/>
        <v>35.689999999999991</v>
      </c>
      <c r="U18" s="139">
        <f t="shared" si="3"/>
        <v>750.98600000000022</v>
      </c>
    </row>
    <row r="19" spans="1:21" s="111" customFormat="1" ht="38.25" customHeight="1" x14ac:dyDescent="0.4">
      <c r="A19" s="238" t="s">
        <v>89</v>
      </c>
      <c r="B19" s="239"/>
      <c r="C19" s="141">
        <f>SUM(C16:C18)</f>
        <v>852.37600000000066</v>
      </c>
      <c r="D19" s="141">
        <f t="shared" ref="D19:U19" si="6">SUM(D16:D18)</f>
        <v>1.59</v>
      </c>
      <c r="E19" s="141">
        <f t="shared" si="6"/>
        <v>11.44</v>
      </c>
      <c r="F19" s="141">
        <f t="shared" si="6"/>
        <v>0.71</v>
      </c>
      <c r="G19" s="141">
        <f t="shared" si="6"/>
        <v>7.29</v>
      </c>
      <c r="H19" s="141">
        <f t="shared" si="6"/>
        <v>853.25600000000065</v>
      </c>
      <c r="I19" s="141">
        <f t="shared" si="6"/>
        <v>1814.7660000000003</v>
      </c>
      <c r="J19" s="141">
        <f t="shared" si="6"/>
        <v>5.38</v>
      </c>
      <c r="K19" s="141">
        <f t="shared" si="6"/>
        <v>37.185000000000002</v>
      </c>
      <c r="L19" s="141">
        <f t="shared" si="6"/>
        <v>0</v>
      </c>
      <c r="M19" s="141">
        <f t="shared" si="6"/>
        <v>0.43</v>
      </c>
      <c r="N19" s="141">
        <f t="shared" si="6"/>
        <v>1820.1460000000002</v>
      </c>
      <c r="O19" s="141">
        <f t="shared" si="6"/>
        <v>150.58200000000005</v>
      </c>
      <c r="P19" s="141">
        <f t="shared" si="6"/>
        <v>0.11</v>
      </c>
      <c r="Q19" s="141">
        <f t="shared" si="6"/>
        <v>1.41</v>
      </c>
      <c r="R19" s="141">
        <f t="shared" si="6"/>
        <v>0</v>
      </c>
      <c r="S19" s="141">
        <f t="shared" si="6"/>
        <v>65.8</v>
      </c>
      <c r="T19" s="141">
        <f t="shared" si="6"/>
        <v>150.69200000000004</v>
      </c>
      <c r="U19" s="141">
        <f t="shared" si="6"/>
        <v>2824.094000000001</v>
      </c>
    </row>
    <row r="20" spans="1:21" ht="38.25" customHeight="1" x14ac:dyDescent="0.35">
      <c r="A20" s="171">
        <v>8</v>
      </c>
      <c r="B20" s="172" t="s">
        <v>91</v>
      </c>
      <c r="C20" s="139">
        <f>'[6]Sep 2023'!H20</f>
        <v>607.42999999999984</v>
      </c>
      <c r="D20" s="139">
        <v>0</v>
      </c>
      <c r="E20" s="139">
        <f>'[6]Sep 2023'!E20+'[6]Oct-2023'!D20</f>
        <v>0</v>
      </c>
      <c r="F20" s="139">
        <v>0</v>
      </c>
      <c r="G20" s="139">
        <f>'[6]Sep 2023'!G20+'[6]Oct-2023'!F20</f>
        <v>0</v>
      </c>
      <c r="H20" s="139">
        <f t="shared" si="0"/>
        <v>607.42999999999984</v>
      </c>
      <c r="I20" s="139">
        <f>'[6]Sep 2023'!N20</f>
        <v>765.84800000000018</v>
      </c>
      <c r="J20" s="139">
        <v>6.73</v>
      </c>
      <c r="K20" s="139">
        <f>'[6]Sep 2023'!K20+'[6]Oct-2023'!J20</f>
        <v>24.19</v>
      </c>
      <c r="L20" s="139">
        <v>0</v>
      </c>
      <c r="M20" s="139">
        <f>'[6]Sep 2023'!M20+'[6]Oct-2023'!L20</f>
        <v>0.02</v>
      </c>
      <c r="N20" s="139">
        <f t="shared" si="1"/>
        <v>772.5780000000002</v>
      </c>
      <c r="O20" s="139">
        <f>'[6]Sep 2023'!T20</f>
        <v>37.580000000000005</v>
      </c>
      <c r="P20" s="139">
        <v>0</v>
      </c>
      <c r="Q20" s="139">
        <f>'[6]Sep 2023'!Q20+'[6]Oct-2023'!P20</f>
        <v>0</v>
      </c>
      <c r="R20" s="139">
        <v>0</v>
      </c>
      <c r="S20" s="139">
        <f>'[6]Sep 2023'!S20+'[6]Oct-2023'!R20</f>
        <v>0</v>
      </c>
      <c r="T20" s="139">
        <f t="shared" si="2"/>
        <v>37.580000000000005</v>
      </c>
      <c r="U20" s="139">
        <f t="shared" si="3"/>
        <v>1417.588</v>
      </c>
    </row>
    <row r="21" spans="1:21" ht="38.25" customHeight="1" x14ac:dyDescent="0.35">
      <c r="A21" s="171">
        <v>9</v>
      </c>
      <c r="B21" s="172" t="s">
        <v>90</v>
      </c>
      <c r="C21" s="139">
        <f>'[6]Sep 2023'!H21</f>
        <v>1.2000000000000002</v>
      </c>
      <c r="D21" s="139">
        <v>0</v>
      </c>
      <c r="E21" s="139">
        <f>'[6]Sep 2023'!E21+'[6]Oct-2023'!D21</f>
        <v>0</v>
      </c>
      <c r="F21" s="139">
        <v>0</v>
      </c>
      <c r="G21" s="139">
        <f>'[6]Sep 2023'!G21+'[6]Oct-2023'!F21</f>
        <v>0.87</v>
      </c>
      <c r="H21" s="139">
        <f t="shared" si="0"/>
        <v>1.2000000000000002</v>
      </c>
      <c r="I21" s="139">
        <f>'[6]Sep 2023'!N21</f>
        <v>470.7770000000001</v>
      </c>
      <c r="J21" s="139">
        <v>0.3</v>
      </c>
      <c r="K21" s="139">
        <f>'[6]Sep 2023'!K21+'[6]Oct-2023'!J21</f>
        <v>9.6700000000000017</v>
      </c>
      <c r="L21" s="139">
        <v>0</v>
      </c>
      <c r="M21" s="139">
        <f>'[6]Sep 2023'!M21+'[6]Oct-2023'!L21</f>
        <v>0.02</v>
      </c>
      <c r="N21" s="139">
        <f t="shared" si="1"/>
        <v>471.07700000000011</v>
      </c>
      <c r="O21" s="139">
        <f>'[6]Sep 2023'!T21</f>
        <v>2.649999999999995</v>
      </c>
      <c r="P21" s="139">
        <v>0</v>
      </c>
      <c r="Q21" s="139">
        <f>'[6]Sep 2023'!Q21+'[6]Oct-2023'!P21</f>
        <v>0</v>
      </c>
      <c r="R21" s="139">
        <v>0</v>
      </c>
      <c r="S21" s="139">
        <f>'[6]Sep 2023'!S21+'[6]Oct-2023'!R21</f>
        <v>16.239999999999998</v>
      </c>
      <c r="T21" s="139">
        <f t="shared" si="2"/>
        <v>2.649999999999995</v>
      </c>
      <c r="U21" s="139">
        <f t="shared" si="3"/>
        <v>474.92700000000008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f>'[6]Sep 2023'!H22</f>
        <v>22.430000000000021</v>
      </c>
      <c r="D22" s="139">
        <v>0</v>
      </c>
      <c r="E22" s="139">
        <f>'[6]Sep 2023'!E22+'[6]Oct-2023'!D22</f>
        <v>0</v>
      </c>
      <c r="F22" s="139">
        <v>0</v>
      </c>
      <c r="G22" s="139">
        <f>'[6]Sep 2023'!G22+'[6]Oct-2023'!F22</f>
        <v>0</v>
      </c>
      <c r="H22" s="139">
        <f t="shared" si="0"/>
        <v>22.430000000000021</v>
      </c>
      <c r="I22" s="139">
        <f>'[6]Sep 2023'!N22</f>
        <v>701.25</v>
      </c>
      <c r="J22" s="139">
        <v>0.49</v>
      </c>
      <c r="K22" s="139">
        <f>'[6]Sep 2023'!K22+'[6]Oct-2023'!J22</f>
        <v>3.5200000000000005</v>
      </c>
      <c r="L22" s="139">
        <v>0</v>
      </c>
      <c r="M22" s="139">
        <f>'[6]Sep 2023'!M22+'[6]Oct-2023'!L22</f>
        <v>0</v>
      </c>
      <c r="N22" s="139">
        <f t="shared" si="1"/>
        <v>701.74</v>
      </c>
      <c r="O22" s="139">
        <f>'[6]Sep 2023'!T22</f>
        <v>0.60000000000000098</v>
      </c>
      <c r="P22" s="139">
        <v>0</v>
      </c>
      <c r="Q22" s="139">
        <f>'[6]Sep 2023'!Q22+'[6]Oct-2023'!P22</f>
        <v>0</v>
      </c>
      <c r="R22" s="139">
        <v>0</v>
      </c>
      <c r="S22" s="139">
        <f>'[6]Sep 2023'!S22+'[6]Oct-2023'!R22</f>
        <v>0</v>
      </c>
      <c r="T22" s="139">
        <f t="shared" si="2"/>
        <v>0.60000000000000098</v>
      </c>
      <c r="U22" s="139">
        <f t="shared" si="3"/>
        <v>724.7700000000001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f>'[6]Sep 2023'!H23</f>
        <v>436.16999999999996</v>
      </c>
      <c r="D23" s="139">
        <v>0</v>
      </c>
      <c r="E23" s="139">
        <f>'[6]Sep 2023'!E23+'[6]Oct-2023'!D23</f>
        <v>36.53</v>
      </c>
      <c r="F23" s="139">
        <v>0</v>
      </c>
      <c r="G23" s="139">
        <f>'[6]Sep 2023'!G23+'[6]Oct-2023'!F23</f>
        <v>31</v>
      </c>
      <c r="H23" s="139">
        <f t="shared" si="0"/>
        <v>436.16999999999996</v>
      </c>
      <c r="I23" s="139">
        <f>'[6]Sep 2023'!N23</f>
        <v>146.70499999999996</v>
      </c>
      <c r="J23" s="139">
        <v>0.37</v>
      </c>
      <c r="K23" s="139">
        <f>'[6]Sep 2023'!K23+'[6]Oct-2023'!J23</f>
        <v>7.5200000000000005</v>
      </c>
      <c r="L23" s="139">
        <v>0</v>
      </c>
      <c r="M23" s="139">
        <f>'[6]Sep 2023'!M23+'[6]Oct-2023'!L23</f>
        <v>0</v>
      </c>
      <c r="N23" s="139">
        <f t="shared" si="1"/>
        <v>147.07499999999996</v>
      </c>
      <c r="O23" s="139">
        <f>'[6]Sep 2023'!T23</f>
        <v>22.5</v>
      </c>
      <c r="P23" s="139">
        <v>0</v>
      </c>
      <c r="Q23" s="139">
        <f>'[6]Sep 2023'!Q23+'[6]Oct-2023'!P23</f>
        <v>0</v>
      </c>
      <c r="R23" s="139">
        <v>0</v>
      </c>
      <c r="S23" s="139">
        <f>'[6]Sep 2023'!S23+'[6]Oct-2023'!R23</f>
        <v>0</v>
      </c>
      <c r="T23" s="139">
        <f t="shared" si="2"/>
        <v>22.5</v>
      </c>
      <c r="U23" s="139">
        <f t="shared" si="3"/>
        <v>605.74499999999989</v>
      </c>
    </row>
    <row r="24" spans="1:21" s="111" customFormat="1" ht="38.25" customHeight="1" x14ac:dyDescent="0.4">
      <c r="A24" s="240" t="s">
        <v>94</v>
      </c>
      <c r="B24" s="240"/>
      <c r="C24" s="141">
        <f>SUM(C20:C23)</f>
        <v>1067.23</v>
      </c>
      <c r="D24" s="141">
        <f t="shared" ref="D24:U24" si="7">SUM(D20:D23)</f>
        <v>0</v>
      </c>
      <c r="E24" s="141">
        <f t="shared" si="7"/>
        <v>36.53</v>
      </c>
      <c r="F24" s="141">
        <f t="shared" si="7"/>
        <v>0</v>
      </c>
      <c r="G24" s="141">
        <f t="shared" si="7"/>
        <v>31.87</v>
      </c>
      <c r="H24" s="141">
        <f t="shared" si="7"/>
        <v>1067.23</v>
      </c>
      <c r="I24" s="141">
        <f t="shared" si="7"/>
        <v>2084.5800000000004</v>
      </c>
      <c r="J24" s="141">
        <f t="shared" si="7"/>
        <v>7.8900000000000006</v>
      </c>
      <c r="K24" s="141">
        <f t="shared" si="7"/>
        <v>44.900000000000006</v>
      </c>
      <c r="L24" s="141">
        <f t="shared" si="7"/>
        <v>0</v>
      </c>
      <c r="M24" s="141">
        <f t="shared" si="7"/>
        <v>0.04</v>
      </c>
      <c r="N24" s="141">
        <f t="shared" si="7"/>
        <v>2092.4700000000003</v>
      </c>
      <c r="O24" s="141">
        <f t="shared" si="7"/>
        <v>63.330000000000005</v>
      </c>
      <c r="P24" s="141">
        <f t="shared" si="7"/>
        <v>0</v>
      </c>
      <c r="Q24" s="141">
        <f t="shared" si="7"/>
        <v>0</v>
      </c>
      <c r="R24" s="141">
        <f t="shared" si="7"/>
        <v>0</v>
      </c>
      <c r="S24" s="141">
        <f t="shared" si="7"/>
        <v>16.239999999999998</v>
      </c>
      <c r="T24" s="141">
        <f t="shared" si="7"/>
        <v>63.330000000000005</v>
      </c>
      <c r="U24" s="141">
        <f t="shared" si="7"/>
        <v>3223.03</v>
      </c>
    </row>
    <row r="25" spans="1:21" s="145" customFormat="1" ht="38.25" customHeight="1" x14ac:dyDescent="0.4">
      <c r="A25" s="241" t="s">
        <v>95</v>
      </c>
      <c r="B25" s="242"/>
      <c r="C25" s="141">
        <f>C11+C15+C19+C24</f>
        <v>3952.7859999999996</v>
      </c>
      <c r="D25" s="141">
        <f t="shared" ref="D25:U25" si="8">D11+D15+D19+D24</f>
        <v>1.59</v>
      </c>
      <c r="E25" s="141">
        <f t="shared" si="8"/>
        <v>47.97</v>
      </c>
      <c r="F25" s="141">
        <f t="shared" si="8"/>
        <v>0.71</v>
      </c>
      <c r="G25" s="141">
        <f t="shared" si="8"/>
        <v>39.160000000000004</v>
      </c>
      <c r="H25" s="141">
        <f t="shared" si="8"/>
        <v>3953.6659999999997</v>
      </c>
      <c r="I25" s="141">
        <f t="shared" si="8"/>
        <v>9194.7430000000004</v>
      </c>
      <c r="J25" s="141">
        <f t="shared" si="8"/>
        <v>31.790000000000003</v>
      </c>
      <c r="K25" s="141">
        <f t="shared" si="8"/>
        <v>289.71299999999997</v>
      </c>
      <c r="L25" s="141">
        <f t="shared" si="8"/>
        <v>0</v>
      </c>
      <c r="M25" s="141">
        <f t="shared" si="8"/>
        <v>0.47</v>
      </c>
      <c r="N25" s="141">
        <f t="shared" si="8"/>
        <v>9226.5329999999994</v>
      </c>
      <c r="O25" s="141">
        <f t="shared" si="8"/>
        <v>465.26800000000003</v>
      </c>
      <c r="P25" s="141">
        <f t="shared" si="8"/>
        <v>0.11</v>
      </c>
      <c r="Q25" s="141">
        <f t="shared" si="8"/>
        <v>1.41</v>
      </c>
      <c r="R25" s="141">
        <f t="shared" si="8"/>
        <v>0</v>
      </c>
      <c r="S25" s="141">
        <f t="shared" si="8"/>
        <v>82.039999999999992</v>
      </c>
      <c r="T25" s="141">
        <f t="shared" si="8"/>
        <v>465.37799999999999</v>
      </c>
      <c r="U25" s="141">
        <f t="shared" si="8"/>
        <v>13645.577000000001</v>
      </c>
    </row>
    <row r="26" spans="1:21" ht="38.25" customHeight="1" x14ac:dyDescent="0.35">
      <c r="A26" s="171">
        <v>15</v>
      </c>
      <c r="B26" s="172" t="s">
        <v>96</v>
      </c>
      <c r="C26" s="139">
        <f>'[6]Sep 2023'!H26</f>
        <v>1661.7900000000002</v>
      </c>
      <c r="D26" s="139">
        <v>3.3</v>
      </c>
      <c r="E26" s="139">
        <f>'[6]Sep 2023'!E26+'[6]Oct-2023'!D26</f>
        <v>36.799999999999997</v>
      </c>
      <c r="F26" s="139">
        <v>0</v>
      </c>
      <c r="G26" s="139">
        <f>'[6]Sep 2023'!G26+'[6]Oct-2023'!F26</f>
        <v>0</v>
      </c>
      <c r="H26" s="139">
        <f t="shared" si="0"/>
        <v>1665.0900000000001</v>
      </c>
      <c r="I26" s="139">
        <f>'[6]Sep 2023'!N26</f>
        <v>122.82000000000001</v>
      </c>
      <c r="J26" s="139">
        <v>0.1</v>
      </c>
      <c r="K26" s="139">
        <f>'[6]Sep 2023'!K26+'[6]Oct-2023'!J26</f>
        <v>1.37</v>
      </c>
      <c r="L26" s="139">
        <v>0</v>
      </c>
      <c r="M26" s="139">
        <f>'[6]Sep 2023'!M26+'[6]Oct-2023'!L26</f>
        <v>0</v>
      </c>
      <c r="N26" s="139">
        <f t="shared" si="1"/>
        <v>122.92</v>
      </c>
      <c r="O26" s="139">
        <f>'[6]Sep 2023'!T26</f>
        <v>16.489999999999998</v>
      </c>
      <c r="P26" s="139">
        <v>0</v>
      </c>
      <c r="Q26" s="139">
        <f>'[6]Sep 2023'!Q26+'[6]Oct-2023'!P26</f>
        <v>0.12</v>
      </c>
      <c r="R26" s="139">
        <v>0</v>
      </c>
      <c r="S26" s="139">
        <f>'[6]Sep 2023'!S26+'[6]Oct-2023'!R26</f>
        <v>0</v>
      </c>
      <c r="T26" s="139">
        <f t="shared" si="2"/>
        <v>16.489999999999998</v>
      </c>
      <c r="U26" s="139">
        <f t="shared" si="3"/>
        <v>1804.5000000000002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f>'[6]Sep 2023'!H27</f>
        <v>5727.6550000000043</v>
      </c>
      <c r="D27" s="139">
        <v>5.45</v>
      </c>
      <c r="E27" s="139">
        <f>'[6]Sep 2023'!E27+'[6]Oct-2023'!D27</f>
        <v>47.750000000000007</v>
      </c>
      <c r="F27" s="139">
        <v>0</v>
      </c>
      <c r="G27" s="139">
        <f>'[6]Sep 2023'!G27+'[6]Oct-2023'!F27</f>
        <v>0.02</v>
      </c>
      <c r="H27" s="139">
        <f t="shared" si="0"/>
        <v>5733.1050000000041</v>
      </c>
      <c r="I27" s="139">
        <f>'[6]Sep 2023'!N27</f>
        <v>645.56799999999987</v>
      </c>
      <c r="J27" s="139">
        <v>2.14</v>
      </c>
      <c r="K27" s="139">
        <f>'[6]Sep 2023'!K27+'[6]Oct-2023'!J27</f>
        <v>13.549999999999999</v>
      </c>
      <c r="L27" s="139">
        <v>0</v>
      </c>
      <c r="M27" s="139">
        <f>'[6]Sep 2023'!M27+'[6]Oct-2023'!L27</f>
        <v>0.02</v>
      </c>
      <c r="N27" s="139">
        <f t="shared" si="1"/>
        <v>647.70799999999986</v>
      </c>
      <c r="O27" s="139">
        <f>'[6]Sep 2023'!T27</f>
        <v>34.630000000000003</v>
      </c>
      <c r="P27" s="139">
        <v>0</v>
      </c>
      <c r="Q27" s="139">
        <f>'[6]Sep 2023'!Q27+'[6]Oct-2023'!P27</f>
        <v>0.83000000000000007</v>
      </c>
      <c r="R27" s="139">
        <v>0</v>
      </c>
      <c r="S27" s="139">
        <f>'[6]Sep 2023'!S27+'[6]Oct-2023'!R27</f>
        <v>0</v>
      </c>
      <c r="T27" s="139">
        <f t="shared" si="2"/>
        <v>34.630000000000003</v>
      </c>
      <c r="U27" s="139">
        <f t="shared" si="3"/>
        <v>6415.4430000000038</v>
      </c>
    </row>
    <row r="28" spans="1:21" s="111" customFormat="1" ht="38.25" customHeight="1" x14ac:dyDescent="0.4">
      <c r="A28" s="240" t="s">
        <v>98</v>
      </c>
      <c r="B28" s="240"/>
      <c r="C28" s="141">
        <f>SUM(C26:C27)</f>
        <v>7389.4450000000043</v>
      </c>
      <c r="D28" s="141">
        <f t="shared" ref="D28:U28" si="9">SUM(D26:D27)</f>
        <v>8.75</v>
      </c>
      <c r="E28" s="141">
        <f t="shared" si="9"/>
        <v>84.550000000000011</v>
      </c>
      <c r="F28" s="141">
        <f t="shared" si="9"/>
        <v>0</v>
      </c>
      <c r="G28" s="141">
        <f t="shared" si="9"/>
        <v>0.02</v>
      </c>
      <c r="H28" s="141">
        <f t="shared" si="9"/>
        <v>7398.1950000000043</v>
      </c>
      <c r="I28" s="141">
        <f t="shared" si="9"/>
        <v>768.38799999999992</v>
      </c>
      <c r="J28" s="141">
        <f t="shared" si="9"/>
        <v>2.2400000000000002</v>
      </c>
      <c r="K28" s="141">
        <f t="shared" si="9"/>
        <v>14.919999999999998</v>
      </c>
      <c r="L28" s="141">
        <f t="shared" si="9"/>
        <v>0</v>
      </c>
      <c r="M28" s="141">
        <f t="shared" si="9"/>
        <v>0.02</v>
      </c>
      <c r="N28" s="141">
        <f t="shared" si="9"/>
        <v>770.62799999999982</v>
      </c>
      <c r="O28" s="141">
        <f t="shared" si="9"/>
        <v>51.120000000000005</v>
      </c>
      <c r="P28" s="141">
        <f t="shared" si="9"/>
        <v>0</v>
      </c>
      <c r="Q28" s="141">
        <f t="shared" si="9"/>
        <v>0.95000000000000007</v>
      </c>
      <c r="R28" s="141">
        <f t="shared" si="9"/>
        <v>0</v>
      </c>
      <c r="S28" s="141">
        <f t="shared" si="9"/>
        <v>0</v>
      </c>
      <c r="T28" s="141">
        <f t="shared" si="9"/>
        <v>51.120000000000005</v>
      </c>
      <c r="U28" s="141">
        <f t="shared" si="9"/>
        <v>8219.9430000000048</v>
      </c>
    </row>
    <row r="29" spans="1:21" ht="38.25" customHeight="1" x14ac:dyDescent="0.35">
      <c r="A29" s="171">
        <v>17</v>
      </c>
      <c r="B29" s="172" t="s">
        <v>99</v>
      </c>
      <c r="C29" s="139">
        <f>'[6]Sep 2023'!H29</f>
        <v>5016.4280000000008</v>
      </c>
      <c r="D29" s="139">
        <v>4.38</v>
      </c>
      <c r="E29" s="139">
        <f>'[6]Sep 2023'!E29+'[6]Oct-2023'!D29</f>
        <v>139.77000000000001</v>
      </c>
      <c r="F29" s="139">
        <v>0</v>
      </c>
      <c r="G29" s="139">
        <f>'[6]Sep 2023'!G29+'[6]Oct-2023'!F29</f>
        <v>0</v>
      </c>
      <c r="H29" s="139">
        <f t="shared" si="0"/>
        <v>5020.8080000000009</v>
      </c>
      <c r="I29" s="139">
        <f>'[6]Sep 2023'!N29</f>
        <v>123.06000000000002</v>
      </c>
      <c r="J29" s="139">
        <v>0.48</v>
      </c>
      <c r="K29" s="139">
        <f>'[6]Sep 2023'!K29+'[6]Oct-2023'!J29</f>
        <v>2.0099999999999998</v>
      </c>
      <c r="L29" s="139">
        <v>0</v>
      </c>
      <c r="M29" s="139">
        <f>'[6]Sep 2023'!M29+'[6]Oct-2023'!L29</f>
        <v>0</v>
      </c>
      <c r="N29" s="139">
        <f t="shared" si="1"/>
        <v>123.54000000000002</v>
      </c>
      <c r="O29" s="139">
        <f>'[6]Sep 2023'!T29</f>
        <v>34.52000000000001</v>
      </c>
      <c r="P29" s="139">
        <v>0</v>
      </c>
      <c r="Q29" s="139">
        <f>'[6]Sep 2023'!Q29+'[6]Oct-2023'!P29</f>
        <v>0</v>
      </c>
      <c r="R29" s="139">
        <v>0</v>
      </c>
      <c r="S29" s="139">
        <f>'[6]Sep 2023'!S29+'[6]Oct-2023'!R29</f>
        <v>0</v>
      </c>
      <c r="T29" s="139">
        <f t="shared" si="2"/>
        <v>34.52000000000001</v>
      </c>
      <c r="U29" s="139">
        <f t="shared" si="3"/>
        <v>5178.8680000000013</v>
      </c>
    </row>
    <row r="30" spans="1:21" ht="38.25" customHeight="1" x14ac:dyDescent="0.35">
      <c r="A30" s="171">
        <v>18</v>
      </c>
      <c r="B30" s="172" t="s">
        <v>100</v>
      </c>
      <c r="C30" s="139">
        <f>'[6]Sep 2023'!H30</f>
        <v>3744.7599999999993</v>
      </c>
      <c r="D30" s="139">
        <v>4.62</v>
      </c>
      <c r="E30" s="139">
        <f>'[6]Sep 2023'!E30+'[6]Oct-2023'!D30</f>
        <v>47.230000000000004</v>
      </c>
      <c r="F30" s="139">
        <v>0</v>
      </c>
      <c r="G30" s="139">
        <f>'[6]Sep 2023'!G30+'[6]Oct-2023'!F30</f>
        <v>0</v>
      </c>
      <c r="H30" s="139">
        <f t="shared" si="0"/>
        <v>3749.3799999999992</v>
      </c>
      <c r="I30" s="139">
        <f>'[6]Sep 2023'!N30</f>
        <v>232.36699999999999</v>
      </c>
      <c r="J30" s="139">
        <v>0</v>
      </c>
      <c r="K30" s="139">
        <f>'[6]Sep 2023'!K30+'[6]Oct-2023'!J30</f>
        <v>33.78</v>
      </c>
      <c r="L30" s="139">
        <v>0</v>
      </c>
      <c r="M30" s="139">
        <f>'[6]Sep 2023'!M30+'[6]Oct-2023'!L30</f>
        <v>0</v>
      </c>
      <c r="N30" s="139">
        <f t="shared" si="1"/>
        <v>232.36699999999999</v>
      </c>
      <c r="O30" s="139">
        <f>'[6]Sep 2023'!T30</f>
        <v>23.25</v>
      </c>
      <c r="P30" s="139">
        <v>0</v>
      </c>
      <c r="Q30" s="139">
        <f>'[6]Sep 2023'!Q30+'[6]Oct-2023'!P30</f>
        <v>0</v>
      </c>
      <c r="R30" s="139">
        <v>0</v>
      </c>
      <c r="S30" s="139">
        <f>'[6]Sep 2023'!S30+'[6]Oct-2023'!R30</f>
        <v>0</v>
      </c>
      <c r="T30" s="139">
        <f t="shared" si="2"/>
        <v>23.25</v>
      </c>
      <c r="U30" s="139">
        <f t="shared" si="3"/>
        <v>4004.9969999999994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f>'[6]Sep 2023'!H31</f>
        <v>4711.5520000000015</v>
      </c>
      <c r="D31" s="139">
        <v>3.28</v>
      </c>
      <c r="E31" s="139">
        <f>'[6]Sep 2023'!E31+'[6]Oct-2023'!D31</f>
        <v>12.339999999999998</v>
      </c>
      <c r="F31" s="139">
        <v>0</v>
      </c>
      <c r="G31" s="139">
        <f>'[6]Sep 2023'!G31+'[6]Oct-2023'!F31</f>
        <v>0</v>
      </c>
      <c r="H31" s="139">
        <f t="shared" si="0"/>
        <v>4714.8320000000012</v>
      </c>
      <c r="I31" s="139">
        <f>'[6]Sep 2023'!N31</f>
        <v>107.89500000000002</v>
      </c>
      <c r="J31" s="139">
        <v>0</v>
      </c>
      <c r="K31" s="139">
        <f>'[6]Sep 2023'!K31+'[6]Oct-2023'!J31</f>
        <v>0.20499999999999999</v>
      </c>
      <c r="L31" s="139">
        <v>0</v>
      </c>
      <c r="M31" s="139">
        <f>'[6]Sep 2023'!M31+'[6]Oct-2023'!L31</f>
        <v>0</v>
      </c>
      <c r="N31" s="139">
        <f t="shared" si="1"/>
        <v>107.89500000000002</v>
      </c>
      <c r="O31" s="139">
        <f>'[6]Sep 2023'!T31</f>
        <v>14.850000000000001</v>
      </c>
      <c r="P31" s="139">
        <v>0</v>
      </c>
      <c r="Q31" s="139">
        <f>'[6]Sep 2023'!Q31+'[6]Oct-2023'!P31</f>
        <v>0</v>
      </c>
      <c r="R31" s="139">
        <v>0</v>
      </c>
      <c r="S31" s="139">
        <f>'[6]Sep 2023'!S31+'[6]Oct-2023'!R31</f>
        <v>0</v>
      </c>
      <c r="T31" s="139">
        <f t="shared" si="2"/>
        <v>14.850000000000001</v>
      </c>
      <c r="U31" s="139">
        <f t="shared" si="3"/>
        <v>4837.577000000002</v>
      </c>
    </row>
    <row r="32" spans="1:21" ht="38.25" customHeight="1" x14ac:dyDescent="0.35">
      <c r="A32" s="171">
        <v>20</v>
      </c>
      <c r="B32" s="172" t="s">
        <v>102</v>
      </c>
      <c r="C32" s="139">
        <f>'[6]Sep 2023'!H32</f>
        <v>2380.9257999999991</v>
      </c>
      <c r="D32" s="139">
        <v>1.83</v>
      </c>
      <c r="E32" s="139">
        <f>'[6]Sep 2023'!E32+'[6]Oct-2023'!D32</f>
        <v>18.46</v>
      </c>
      <c r="F32" s="139">
        <v>0</v>
      </c>
      <c r="G32" s="139">
        <f>'[6]Sep 2023'!G32+'[6]Oct-2023'!F32</f>
        <v>9.73</v>
      </c>
      <c r="H32" s="139">
        <f t="shared" si="0"/>
        <v>2382.755799999999</v>
      </c>
      <c r="I32" s="139">
        <f>'[6]Sep 2023'!N32</f>
        <v>109.38400000000003</v>
      </c>
      <c r="J32" s="139">
        <v>0.89</v>
      </c>
      <c r="K32" s="139">
        <f>'[6]Sep 2023'!K32+'[6]Oct-2023'!J32</f>
        <v>17.097999999999999</v>
      </c>
      <c r="L32" s="139">
        <v>0</v>
      </c>
      <c r="M32" s="139">
        <f>'[6]Sep 2023'!M32+'[6]Oct-2023'!L32</f>
        <v>0</v>
      </c>
      <c r="N32" s="139">
        <f t="shared" si="1"/>
        <v>110.27400000000003</v>
      </c>
      <c r="O32" s="139">
        <f>'[6]Sep 2023'!T32</f>
        <v>67.551999999999992</v>
      </c>
      <c r="P32" s="139">
        <v>0</v>
      </c>
      <c r="Q32" s="139">
        <f>'[6]Sep 2023'!Q32+'[6]Oct-2023'!P32</f>
        <v>0</v>
      </c>
      <c r="R32" s="139">
        <v>0</v>
      </c>
      <c r="S32" s="139">
        <f>'[6]Sep 2023'!S32+'[6]Oct-2023'!R32</f>
        <v>0</v>
      </c>
      <c r="T32" s="139">
        <f t="shared" si="2"/>
        <v>67.551999999999992</v>
      </c>
      <c r="U32" s="139">
        <f t="shared" si="3"/>
        <v>2560.581799999999</v>
      </c>
    </row>
    <row r="33" spans="1:21" s="111" customFormat="1" ht="38.25" customHeight="1" x14ac:dyDescent="0.4">
      <c r="A33" s="240" t="s">
        <v>99</v>
      </c>
      <c r="B33" s="240"/>
      <c r="C33" s="141">
        <f>SUM(C29:C32)</f>
        <v>15853.665800000001</v>
      </c>
      <c r="D33" s="141">
        <f t="shared" ref="D33:U33" si="10">SUM(D29:D32)</f>
        <v>14.11</v>
      </c>
      <c r="E33" s="141">
        <f t="shared" si="10"/>
        <v>217.8</v>
      </c>
      <c r="F33" s="141">
        <f t="shared" si="10"/>
        <v>0</v>
      </c>
      <c r="G33" s="141">
        <f t="shared" si="10"/>
        <v>9.73</v>
      </c>
      <c r="H33" s="141">
        <f t="shared" si="10"/>
        <v>15867.775799999999</v>
      </c>
      <c r="I33" s="141">
        <f t="shared" si="10"/>
        <v>572.70600000000013</v>
      </c>
      <c r="J33" s="141">
        <f t="shared" si="10"/>
        <v>1.37</v>
      </c>
      <c r="K33" s="141">
        <f t="shared" si="10"/>
        <v>53.092999999999996</v>
      </c>
      <c r="L33" s="141">
        <f t="shared" si="10"/>
        <v>0</v>
      </c>
      <c r="M33" s="141">
        <f t="shared" si="10"/>
        <v>0</v>
      </c>
      <c r="N33" s="141">
        <f t="shared" si="10"/>
        <v>574.07600000000014</v>
      </c>
      <c r="O33" s="141">
        <f t="shared" si="10"/>
        <v>140.172</v>
      </c>
      <c r="P33" s="141">
        <f t="shared" si="10"/>
        <v>0</v>
      </c>
      <c r="Q33" s="141">
        <f t="shared" si="10"/>
        <v>0</v>
      </c>
      <c r="R33" s="141">
        <f t="shared" si="10"/>
        <v>0</v>
      </c>
      <c r="S33" s="141">
        <f t="shared" si="10"/>
        <v>0</v>
      </c>
      <c r="T33" s="141">
        <f t="shared" si="10"/>
        <v>140.172</v>
      </c>
      <c r="U33" s="141">
        <f t="shared" si="10"/>
        <v>16582.023800000003</v>
      </c>
    </row>
    <row r="34" spans="1:21" ht="38.25" customHeight="1" x14ac:dyDescent="0.35">
      <c r="A34" s="171">
        <v>21</v>
      </c>
      <c r="B34" s="172" t="s">
        <v>103</v>
      </c>
      <c r="C34" s="139">
        <f>'[6]Sep 2023'!H34</f>
        <v>4610.5899999999992</v>
      </c>
      <c r="D34" s="139">
        <v>3.05</v>
      </c>
      <c r="E34" s="139">
        <f>'[6]Sep 2023'!E34+'[6]Oct-2023'!D34</f>
        <v>29.610000000000003</v>
      </c>
      <c r="F34" s="139">
        <v>0</v>
      </c>
      <c r="G34" s="139">
        <f>'[6]Sep 2023'!G34+'[6]Oct-2023'!F34</f>
        <v>2.72</v>
      </c>
      <c r="H34" s="139">
        <f t="shared" si="0"/>
        <v>4613.6399999999994</v>
      </c>
      <c r="I34" s="139">
        <f>'[6]Sep 2023'!N34</f>
        <v>116.16999999999999</v>
      </c>
      <c r="J34" s="139">
        <v>0</v>
      </c>
      <c r="K34" s="139">
        <f>'[6]Sep 2023'!K34+'[6]Oct-2023'!J34</f>
        <v>8.09</v>
      </c>
      <c r="L34" s="139">
        <v>0</v>
      </c>
      <c r="M34" s="139">
        <f>'[6]Sep 2023'!M34+'[6]Oct-2023'!L34</f>
        <v>0</v>
      </c>
      <c r="N34" s="139">
        <f t="shared" si="1"/>
        <v>116.16999999999999</v>
      </c>
      <c r="O34" s="139">
        <f>'[6]Sep 2023'!T34</f>
        <v>72.7</v>
      </c>
      <c r="P34" s="139">
        <v>0</v>
      </c>
      <c r="Q34" s="139">
        <f>'[6]Sep 2023'!Q34+'[6]Oct-2023'!P34</f>
        <v>0</v>
      </c>
      <c r="R34" s="139">
        <v>0</v>
      </c>
      <c r="S34" s="139">
        <f>'[6]Sep 2023'!S34+'[6]Oct-2023'!R34</f>
        <v>0</v>
      </c>
      <c r="T34" s="139">
        <f t="shared" si="2"/>
        <v>72.7</v>
      </c>
      <c r="U34" s="139">
        <f t="shared" si="3"/>
        <v>4802.5099999999993</v>
      </c>
    </row>
    <row r="35" spans="1:21" ht="38.25" customHeight="1" x14ac:dyDescent="0.35">
      <c r="A35" s="171">
        <v>22</v>
      </c>
      <c r="B35" s="172" t="s">
        <v>104</v>
      </c>
      <c r="C35" s="139">
        <f>'[6]Sep 2023'!H35</f>
        <v>6806.7999999999975</v>
      </c>
      <c r="D35" s="139">
        <v>8.6999999999999993</v>
      </c>
      <c r="E35" s="139">
        <f>'[6]Sep 2023'!E35+'[6]Oct-2023'!D35</f>
        <v>131.88</v>
      </c>
      <c r="F35" s="139">
        <v>0</v>
      </c>
      <c r="G35" s="139">
        <f>'[6]Sep 2023'!G35+'[6]Oct-2023'!F35</f>
        <v>0</v>
      </c>
      <c r="H35" s="139">
        <f t="shared" si="0"/>
        <v>6815.4999999999973</v>
      </c>
      <c r="I35" s="139">
        <f>'[6]Sep 2023'!N35</f>
        <v>34.17</v>
      </c>
      <c r="J35" s="139">
        <v>0</v>
      </c>
      <c r="K35" s="139">
        <f>'[6]Sep 2023'!K35+'[6]Oct-2023'!J35</f>
        <v>0.04</v>
      </c>
      <c r="L35" s="139">
        <v>0</v>
      </c>
      <c r="M35" s="139">
        <f>'[6]Sep 2023'!M35+'[6]Oct-2023'!L35</f>
        <v>0</v>
      </c>
      <c r="N35" s="139">
        <f t="shared" si="1"/>
        <v>34.17</v>
      </c>
      <c r="O35" s="139">
        <f>'[6]Sep 2023'!T35</f>
        <v>90.800000000000011</v>
      </c>
      <c r="P35" s="139">
        <v>0</v>
      </c>
      <c r="Q35" s="139">
        <f>'[6]Sep 2023'!Q35+'[6]Oct-2023'!P35</f>
        <v>0</v>
      </c>
      <c r="R35" s="139">
        <v>0</v>
      </c>
      <c r="S35" s="139">
        <f>'[6]Sep 2023'!S35+'[6]Oct-2023'!R35</f>
        <v>0</v>
      </c>
      <c r="T35" s="139">
        <f t="shared" si="2"/>
        <v>90.800000000000011</v>
      </c>
      <c r="U35" s="139">
        <f t="shared" si="3"/>
        <v>6940.4699999999975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f>'[6]Sep 2023'!H36</f>
        <v>3783.17</v>
      </c>
      <c r="D36" s="139">
        <v>80.260000000000005</v>
      </c>
      <c r="E36" s="139">
        <f>'[6]Sep 2023'!E36+'[6]Oct-2023'!D36</f>
        <v>165.76999999999998</v>
      </c>
      <c r="F36" s="139">
        <v>0</v>
      </c>
      <c r="G36" s="139">
        <f>'[6]Sep 2023'!G36+'[6]Oct-2023'!F36</f>
        <v>0</v>
      </c>
      <c r="H36" s="139">
        <f t="shared" si="0"/>
        <v>3863.4300000000003</v>
      </c>
      <c r="I36" s="139">
        <f>'[6]Sep 2023'!N36</f>
        <v>30.53000000000004</v>
      </c>
      <c r="J36" s="139">
        <v>0.54</v>
      </c>
      <c r="K36" s="139">
        <f>'[6]Sep 2023'!K36+'[6]Oct-2023'!J36</f>
        <v>0.82000000000000006</v>
      </c>
      <c r="L36" s="139">
        <v>0</v>
      </c>
      <c r="M36" s="139">
        <f>'[6]Sep 2023'!M36+'[6]Oct-2023'!L36</f>
        <v>0</v>
      </c>
      <c r="N36" s="139">
        <f t="shared" si="1"/>
        <v>31.070000000000039</v>
      </c>
      <c r="O36" s="139">
        <f>'[6]Sep 2023'!T36</f>
        <v>36.379999999999995</v>
      </c>
      <c r="P36" s="139">
        <v>0</v>
      </c>
      <c r="Q36" s="139">
        <f>'[6]Sep 2023'!Q36+'[6]Oct-2023'!P36</f>
        <v>0</v>
      </c>
      <c r="R36" s="139">
        <v>0</v>
      </c>
      <c r="S36" s="139">
        <f>'[6]Sep 2023'!S36+'[6]Oct-2023'!R36</f>
        <v>0</v>
      </c>
      <c r="T36" s="139">
        <f t="shared" si="2"/>
        <v>36.379999999999995</v>
      </c>
      <c r="U36" s="139">
        <f t="shared" si="3"/>
        <v>3930.8800000000006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f>'[6]Sep 2023'!H37</f>
        <v>5196.0899999999992</v>
      </c>
      <c r="D37" s="139">
        <v>1.65</v>
      </c>
      <c r="E37" s="139">
        <f>'[6]Sep 2023'!E37+'[6]Oct-2023'!D37</f>
        <v>103.23</v>
      </c>
      <c r="F37" s="139">
        <v>0</v>
      </c>
      <c r="G37" s="139">
        <f>'[6]Sep 2023'!G37+'[6]Oct-2023'!F37</f>
        <v>0</v>
      </c>
      <c r="H37" s="139">
        <f t="shared" si="0"/>
        <v>5197.7399999999989</v>
      </c>
      <c r="I37" s="139">
        <f>'[6]Sep 2023'!N37</f>
        <v>26.700000000000003</v>
      </c>
      <c r="J37" s="139">
        <v>0</v>
      </c>
      <c r="K37" s="139">
        <f>'[6]Sep 2023'!K37+'[6]Oct-2023'!J37</f>
        <v>0</v>
      </c>
      <c r="L37" s="139">
        <v>0</v>
      </c>
      <c r="M37" s="139">
        <f>'[6]Sep 2023'!M37+'[6]Oct-2023'!L37</f>
        <v>0</v>
      </c>
      <c r="N37" s="139">
        <f t="shared" si="1"/>
        <v>26.700000000000003</v>
      </c>
      <c r="O37" s="139">
        <f>'[6]Sep 2023'!T37</f>
        <v>3.0599999999999996</v>
      </c>
      <c r="P37" s="139">
        <v>0</v>
      </c>
      <c r="Q37" s="139">
        <f>'[6]Sep 2023'!Q37+'[6]Oct-2023'!P37</f>
        <v>0</v>
      </c>
      <c r="R37" s="139">
        <v>0</v>
      </c>
      <c r="S37" s="139">
        <f>'[6]Sep 2023'!S37+'[6]Oct-2023'!R37</f>
        <v>0</v>
      </c>
      <c r="T37" s="139">
        <f t="shared" si="2"/>
        <v>3.0599999999999996</v>
      </c>
      <c r="U37" s="139">
        <f t="shared" si="3"/>
        <v>5227.4999999999991</v>
      </c>
    </row>
    <row r="38" spans="1:21" s="111" customFormat="1" ht="38.25" customHeight="1" x14ac:dyDescent="0.4">
      <c r="A38" s="240" t="s">
        <v>107</v>
      </c>
      <c r="B38" s="240"/>
      <c r="C38" s="141">
        <f>SUM(C34:C37)</f>
        <v>20396.649999999994</v>
      </c>
      <c r="D38" s="141">
        <f t="shared" ref="D38:U38" si="11">SUM(D34:D37)</f>
        <v>93.660000000000011</v>
      </c>
      <c r="E38" s="141">
        <f t="shared" si="11"/>
        <v>430.49</v>
      </c>
      <c r="F38" s="141">
        <f t="shared" si="11"/>
        <v>0</v>
      </c>
      <c r="G38" s="141">
        <f t="shared" si="11"/>
        <v>2.72</v>
      </c>
      <c r="H38" s="141">
        <f t="shared" si="11"/>
        <v>20490.309999999994</v>
      </c>
      <c r="I38" s="141">
        <f t="shared" si="11"/>
        <v>207.57</v>
      </c>
      <c r="J38" s="141">
        <f t="shared" si="11"/>
        <v>0.54</v>
      </c>
      <c r="K38" s="141">
        <f t="shared" si="11"/>
        <v>8.9499999999999993</v>
      </c>
      <c r="L38" s="141">
        <f t="shared" si="11"/>
        <v>0</v>
      </c>
      <c r="M38" s="141">
        <f t="shared" si="11"/>
        <v>0</v>
      </c>
      <c r="N38" s="141">
        <f t="shared" si="11"/>
        <v>208.11</v>
      </c>
      <c r="O38" s="141">
        <f t="shared" si="11"/>
        <v>202.94</v>
      </c>
      <c r="P38" s="141">
        <f t="shared" si="11"/>
        <v>0</v>
      </c>
      <c r="Q38" s="141">
        <f t="shared" si="11"/>
        <v>0</v>
      </c>
      <c r="R38" s="141">
        <f t="shared" si="11"/>
        <v>0</v>
      </c>
      <c r="S38" s="141">
        <f t="shared" si="11"/>
        <v>0</v>
      </c>
      <c r="T38" s="141">
        <f t="shared" si="11"/>
        <v>202.94</v>
      </c>
      <c r="U38" s="141">
        <f t="shared" si="11"/>
        <v>20901.359999999997</v>
      </c>
    </row>
    <row r="39" spans="1:21" s="145" customFormat="1" ht="38.25" customHeight="1" x14ac:dyDescent="0.4">
      <c r="A39" s="243" t="s">
        <v>108</v>
      </c>
      <c r="B39" s="243"/>
      <c r="C39" s="141">
        <f>C28+C33+C38</f>
        <v>43639.760800000004</v>
      </c>
      <c r="D39" s="141">
        <f t="shared" ref="D39:U39" si="12">D28+D33+D38</f>
        <v>116.52000000000001</v>
      </c>
      <c r="E39" s="141">
        <f t="shared" si="12"/>
        <v>732.84</v>
      </c>
      <c r="F39" s="141">
        <f t="shared" si="12"/>
        <v>0</v>
      </c>
      <c r="G39" s="141">
        <f t="shared" si="12"/>
        <v>12.47</v>
      </c>
      <c r="H39" s="141">
        <f t="shared" si="12"/>
        <v>43756.280799999993</v>
      </c>
      <c r="I39" s="141">
        <f t="shared" si="12"/>
        <v>1548.664</v>
      </c>
      <c r="J39" s="141">
        <f t="shared" si="12"/>
        <v>4.1500000000000004</v>
      </c>
      <c r="K39" s="141">
        <f t="shared" si="12"/>
        <v>76.962999999999994</v>
      </c>
      <c r="L39" s="141">
        <f t="shared" si="12"/>
        <v>0</v>
      </c>
      <c r="M39" s="141">
        <f t="shared" si="12"/>
        <v>0.02</v>
      </c>
      <c r="N39" s="141">
        <f t="shared" si="12"/>
        <v>1552.8139999999999</v>
      </c>
      <c r="O39" s="141">
        <f t="shared" si="12"/>
        <v>394.23199999999997</v>
      </c>
      <c r="P39" s="141">
        <f t="shared" si="12"/>
        <v>0</v>
      </c>
      <c r="Q39" s="141">
        <f t="shared" si="12"/>
        <v>0.95000000000000007</v>
      </c>
      <c r="R39" s="141">
        <f t="shared" si="12"/>
        <v>0</v>
      </c>
      <c r="S39" s="141">
        <f t="shared" si="12"/>
        <v>0</v>
      </c>
      <c r="T39" s="141">
        <f t="shared" si="12"/>
        <v>394.23199999999997</v>
      </c>
      <c r="U39" s="141">
        <f t="shared" si="12"/>
        <v>45703.32680000001</v>
      </c>
    </row>
    <row r="40" spans="1:21" ht="38.25" customHeight="1" x14ac:dyDescent="0.35">
      <c r="A40" s="171">
        <v>25</v>
      </c>
      <c r="B40" s="172" t="s">
        <v>109</v>
      </c>
      <c r="C40" s="139">
        <f>'[6]Sep 2023'!H40</f>
        <v>11930.643999999998</v>
      </c>
      <c r="D40" s="139">
        <v>3.25</v>
      </c>
      <c r="E40" s="139">
        <f>'[6]Sep 2023'!E40+'[6]Oct-2023'!D40</f>
        <v>76.27</v>
      </c>
      <c r="F40" s="139">
        <v>0</v>
      </c>
      <c r="G40" s="139">
        <f>'[6]Sep 2023'!G40+'[6]Oct-2023'!F40</f>
        <v>0</v>
      </c>
      <c r="H40" s="139">
        <f t="shared" si="0"/>
        <v>11933.893999999998</v>
      </c>
      <c r="I40" s="139">
        <f>'[6]Sep 2023'!N40</f>
        <v>198.73</v>
      </c>
      <c r="J40" s="139">
        <v>0</v>
      </c>
      <c r="K40" s="139">
        <f>'[6]Sep 2023'!K40+'[6]Oct-2023'!J40</f>
        <v>0</v>
      </c>
      <c r="L40" s="139">
        <v>0</v>
      </c>
      <c r="M40" s="139">
        <f>'[6]Sep 2023'!M40+'[6]Oct-2023'!L40</f>
        <v>0</v>
      </c>
      <c r="N40" s="139">
        <f t="shared" si="1"/>
        <v>198.73</v>
      </c>
      <c r="O40" s="139">
        <f>'[6]Sep 2023'!T40</f>
        <v>106.93</v>
      </c>
      <c r="P40" s="139">
        <v>0</v>
      </c>
      <c r="Q40" s="139">
        <f>'[6]Sep 2023'!Q40+'[6]Oct-2023'!P40</f>
        <v>0</v>
      </c>
      <c r="R40" s="139">
        <v>0</v>
      </c>
      <c r="S40" s="139">
        <f>'[6]Sep 2023'!S40+'[6]Oct-2023'!R40</f>
        <v>0</v>
      </c>
      <c r="T40" s="139">
        <f t="shared" si="2"/>
        <v>106.93</v>
      </c>
      <c r="U40" s="139">
        <f t="shared" si="3"/>
        <v>12239.553999999998</v>
      </c>
    </row>
    <row r="41" spans="1:21" ht="38.25" customHeight="1" x14ac:dyDescent="0.35">
      <c r="A41" s="171">
        <v>26</v>
      </c>
      <c r="B41" s="172" t="s">
        <v>110</v>
      </c>
      <c r="C41" s="139">
        <f>'[6]Sep 2023'!H41</f>
        <v>8575.4389999999948</v>
      </c>
      <c r="D41" s="139">
        <v>4.54</v>
      </c>
      <c r="E41" s="139">
        <f>'[6]Sep 2023'!E41+'[6]Oct-2023'!D41</f>
        <v>132.58000000000001</v>
      </c>
      <c r="F41" s="139">
        <v>0</v>
      </c>
      <c r="G41" s="139">
        <f>'[6]Sep 2023'!G41+'[6]Oct-2023'!F41</f>
        <v>0</v>
      </c>
      <c r="H41" s="139">
        <f t="shared" si="0"/>
        <v>8579.9789999999957</v>
      </c>
      <c r="I41" s="139">
        <f>'[6]Sep 2023'!N41</f>
        <v>8.67</v>
      </c>
      <c r="J41" s="139">
        <v>0</v>
      </c>
      <c r="K41" s="139">
        <f>'[6]Sep 2023'!K41+'[6]Oct-2023'!J41</f>
        <v>0</v>
      </c>
      <c r="L41" s="139">
        <v>0</v>
      </c>
      <c r="M41" s="139">
        <f>'[6]Sep 2023'!M41+'[6]Oct-2023'!L41</f>
        <v>0</v>
      </c>
      <c r="N41" s="139">
        <f t="shared" si="1"/>
        <v>8.67</v>
      </c>
      <c r="O41" s="139">
        <f>'[6]Sep 2023'!T41</f>
        <v>141.29000000000002</v>
      </c>
      <c r="P41" s="139">
        <v>0</v>
      </c>
      <c r="Q41" s="139">
        <f>'[6]Sep 2023'!Q41+'[6]Oct-2023'!P41</f>
        <v>0</v>
      </c>
      <c r="R41" s="139">
        <v>0</v>
      </c>
      <c r="S41" s="139">
        <f>'[6]Sep 2023'!S41+'[6]Oct-2023'!R41</f>
        <v>0</v>
      </c>
      <c r="T41" s="139">
        <f t="shared" si="2"/>
        <v>141.29000000000002</v>
      </c>
      <c r="U41" s="139">
        <f t="shared" si="3"/>
        <v>8729.9389999999967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f>'[6]Sep 2023'!H42</f>
        <v>14067.067999999997</v>
      </c>
      <c r="D42" s="139">
        <v>20.39</v>
      </c>
      <c r="E42" s="139">
        <f>'[6]Sep 2023'!E42+'[6]Oct-2023'!D42</f>
        <v>133.78500000000003</v>
      </c>
      <c r="F42" s="139">
        <v>0</v>
      </c>
      <c r="G42" s="139">
        <f>'[6]Sep 2023'!G42+'[6]Oct-2023'!F42</f>
        <v>0</v>
      </c>
      <c r="H42" s="139">
        <f t="shared" si="0"/>
        <v>14087.457999999997</v>
      </c>
      <c r="I42" s="139">
        <f>'[6]Sep 2023'!N42</f>
        <v>15.62</v>
      </c>
      <c r="J42" s="139">
        <v>0</v>
      </c>
      <c r="K42" s="139">
        <f>'[6]Sep 2023'!K42+'[6]Oct-2023'!J42</f>
        <v>0</v>
      </c>
      <c r="L42" s="139">
        <v>0</v>
      </c>
      <c r="M42" s="139">
        <f>'[6]Sep 2023'!M42+'[6]Oct-2023'!L42</f>
        <v>0</v>
      </c>
      <c r="N42" s="139">
        <f t="shared" si="1"/>
        <v>15.62</v>
      </c>
      <c r="O42" s="139">
        <f>'[6]Sep 2023'!T42</f>
        <v>205.35</v>
      </c>
      <c r="P42" s="139">
        <v>0</v>
      </c>
      <c r="Q42" s="139">
        <f>'[6]Sep 2023'!Q42+'[6]Oct-2023'!P42</f>
        <v>0</v>
      </c>
      <c r="R42" s="139">
        <v>0</v>
      </c>
      <c r="S42" s="139">
        <f>'[6]Sep 2023'!S42+'[6]Oct-2023'!R42</f>
        <v>0</v>
      </c>
      <c r="T42" s="139">
        <f t="shared" si="2"/>
        <v>205.35</v>
      </c>
      <c r="U42" s="139">
        <f t="shared" si="3"/>
        <v>14308.427999999998</v>
      </c>
    </row>
    <row r="43" spans="1:21" ht="38.25" customHeight="1" x14ac:dyDescent="0.35">
      <c r="A43" s="171">
        <v>28</v>
      </c>
      <c r="B43" s="172" t="s">
        <v>112</v>
      </c>
      <c r="C43" s="139">
        <f>'[6]Sep 2023'!H43</f>
        <v>4342.170000000001</v>
      </c>
      <c r="D43" s="139">
        <v>8.09</v>
      </c>
      <c r="E43" s="139">
        <f>'[6]Sep 2023'!E43+'[6]Oct-2023'!D43</f>
        <v>148.29999999999998</v>
      </c>
      <c r="F43" s="139">
        <v>0</v>
      </c>
      <c r="G43" s="139">
        <f>'[6]Sep 2023'!G43+'[6]Oct-2023'!F43</f>
        <v>0</v>
      </c>
      <c r="H43" s="139">
        <f t="shared" si="0"/>
        <v>4350.2600000000011</v>
      </c>
      <c r="I43" s="139">
        <f>'[6]Sep 2023'!N43</f>
        <v>3.5</v>
      </c>
      <c r="J43" s="139">
        <v>0</v>
      </c>
      <c r="K43" s="139">
        <f>'[6]Sep 2023'!K43+'[6]Oct-2023'!J43</f>
        <v>0</v>
      </c>
      <c r="L43" s="139">
        <v>0</v>
      </c>
      <c r="M43" s="139">
        <f>'[6]Sep 2023'!M43+'[6]Oct-2023'!L43</f>
        <v>0</v>
      </c>
      <c r="N43" s="139">
        <f t="shared" si="1"/>
        <v>3.5</v>
      </c>
      <c r="O43" s="139">
        <f>'[6]Sep 2023'!T43</f>
        <v>29.8</v>
      </c>
      <c r="P43" s="139">
        <v>0</v>
      </c>
      <c r="Q43" s="139">
        <f>'[6]Sep 2023'!Q43+'[6]Oct-2023'!P43</f>
        <v>0</v>
      </c>
      <c r="R43" s="139">
        <v>0</v>
      </c>
      <c r="S43" s="139">
        <f>'[6]Sep 2023'!S43+'[6]Oct-2023'!R43</f>
        <v>0</v>
      </c>
      <c r="T43" s="139">
        <f t="shared" si="2"/>
        <v>29.8</v>
      </c>
      <c r="U43" s="139">
        <f t="shared" si="3"/>
        <v>4383.5600000000013</v>
      </c>
    </row>
    <row r="44" spans="1:21" s="111" customFormat="1" ht="38.25" customHeight="1" x14ac:dyDescent="0.4">
      <c r="A44" s="240" t="s">
        <v>109</v>
      </c>
      <c r="B44" s="240"/>
      <c r="C44" s="141">
        <f>SUM(C40:C43)</f>
        <v>38915.320999999989</v>
      </c>
      <c r="D44" s="141">
        <f t="shared" ref="D44:U44" si="13">SUM(D40:D43)</f>
        <v>36.269999999999996</v>
      </c>
      <c r="E44" s="141">
        <f t="shared" si="13"/>
        <v>490.93500000000006</v>
      </c>
      <c r="F44" s="141">
        <f t="shared" si="13"/>
        <v>0</v>
      </c>
      <c r="G44" s="141">
        <f t="shared" si="13"/>
        <v>0</v>
      </c>
      <c r="H44" s="141">
        <f t="shared" si="13"/>
        <v>38951.590999999993</v>
      </c>
      <c r="I44" s="141">
        <f t="shared" si="13"/>
        <v>226.51999999999998</v>
      </c>
      <c r="J44" s="141">
        <f t="shared" si="13"/>
        <v>0</v>
      </c>
      <c r="K44" s="141">
        <f t="shared" si="13"/>
        <v>0</v>
      </c>
      <c r="L44" s="141">
        <f t="shared" si="13"/>
        <v>0</v>
      </c>
      <c r="M44" s="141">
        <f t="shared" si="13"/>
        <v>0</v>
      </c>
      <c r="N44" s="141">
        <f t="shared" si="13"/>
        <v>226.51999999999998</v>
      </c>
      <c r="O44" s="141">
        <f t="shared" si="13"/>
        <v>483.37000000000006</v>
      </c>
      <c r="P44" s="141">
        <f t="shared" si="13"/>
        <v>0</v>
      </c>
      <c r="Q44" s="141">
        <f t="shared" si="13"/>
        <v>0</v>
      </c>
      <c r="R44" s="141">
        <f t="shared" si="13"/>
        <v>0</v>
      </c>
      <c r="S44" s="141">
        <f t="shared" si="13"/>
        <v>0</v>
      </c>
      <c r="T44" s="141">
        <f t="shared" si="13"/>
        <v>483.37000000000006</v>
      </c>
      <c r="U44" s="141">
        <f t="shared" si="13"/>
        <v>39661.481</v>
      </c>
    </row>
    <row r="45" spans="1:21" ht="38.25" customHeight="1" x14ac:dyDescent="0.35">
      <c r="A45" s="171">
        <v>29</v>
      </c>
      <c r="B45" s="172" t="s">
        <v>113</v>
      </c>
      <c r="C45" s="139">
        <f>'[6]Sep 2023'!H45</f>
        <v>8473.672099999998</v>
      </c>
      <c r="D45" s="139">
        <v>7.08</v>
      </c>
      <c r="E45" s="139">
        <f>'[6]Sep 2023'!E45+'[6]Oct-2023'!D45</f>
        <v>116.94</v>
      </c>
      <c r="F45" s="139">
        <v>0</v>
      </c>
      <c r="G45" s="139">
        <f>'[6]Sep 2023'!G45+'[6]Oct-2023'!F45</f>
        <v>0</v>
      </c>
      <c r="H45" s="139">
        <f t="shared" si="0"/>
        <v>8480.7520999999979</v>
      </c>
      <c r="I45" s="139">
        <f>'[6]Sep 2023'!N45</f>
        <v>261.49999999999994</v>
      </c>
      <c r="J45" s="139">
        <v>0.06</v>
      </c>
      <c r="K45" s="139">
        <f>'[6]Sep 2023'!K45+'[6]Oct-2023'!J45</f>
        <v>0.51</v>
      </c>
      <c r="L45" s="139">
        <v>0</v>
      </c>
      <c r="M45" s="139">
        <f>'[6]Sep 2023'!M45+'[6]Oct-2023'!L45</f>
        <v>0</v>
      </c>
      <c r="N45" s="139">
        <f t="shared" si="1"/>
        <v>261.55999999999995</v>
      </c>
      <c r="O45" s="139">
        <f>'[6]Sep 2023'!T45</f>
        <v>84.53</v>
      </c>
      <c r="P45" s="139">
        <v>0</v>
      </c>
      <c r="Q45" s="139">
        <f>'[6]Sep 2023'!Q45+'[6]Oct-2023'!P45</f>
        <v>0.14000000000000001</v>
      </c>
      <c r="R45" s="139">
        <v>0</v>
      </c>
      <c r="S45" s="139">
        <f>'[6]Sep 2023'!S45+'[6]Oct-2023'!R45</f>
        <v>0</v>
      </c>
      <c r="T45" s="139">
        <f t="shared" si="2"/>
        <v>84.53</v>
      </c>
      <c r="U45" s="139">
        <f t="shared" si="3"/>
        <v>8826.842099999998</v>
      </c>
    </row>
    <row r="46" spans="1:21" ht="38.25" customHeight="1" x14ac:dyDescent="0.35">
      <c r="A46" s="171">
        <v>30</v>
      </c>
      <c r="B46" s="172" t="s">
        <v>114</v>
      </c>
      <c r="C46" s="139">
        <f>'[6]Sep 2023'!H46</f>
        <v>8110.3250000000016</v>
      </c>
      <c r="D46" s="139">
        <v>13.73</v>
      </c>
      <c r="E46" s="139">
        <f>'[6]Sep 2023'!E46+'[6]Oct-2023'!D46</f>
        <v>176.82</v>
      </c>
      <c r="F46" s="139">
        <v>0</v>
      </c>
      <c r="G46" s="139">
        <f>'[6]Sep 2023'!G46+'[6]Oct-2023'!F46</f>
        <v>0</v>
      </c>
      <c r="H46" s="139">
        <f t="shared" si="0"/>
        <v>8124.0550000000012</v>
      </c>
      <c r="I46" s="139">
        <f>'[6]Sep 2023'!N46</f>
        <v>0</v>
      </c>
      <c r="J46" s="139">
        <v>0</v>
      </c>
      <c r="K46" s="139">
        <f>'[6]Sep 2023'!K46+'[6]Oct-2023'!J46</f>
        <v>0</v>
      </c>
      <c r="L46" s="139">
        <v>0</v>
      </c>
      <c r="M46" s="139">
        <f>'[6]Sep 2023'!M46+'[6]Oct-2023'!L46</f>
        <v>0</v>
      </c>
      <c r="N46" s="139">
        <f t="shared" si="1"/>
        <v>0</v>
      </c>
      <c r="O46" s="139">
        <f>'[6]Sep 2023'!T46</f>
        <v>47.03</v>
      </c>
      <c r="P46" s="139">
        <v>0</v>
      </c>
      <c r="Q46" s="139">
        <f>'[6]Sep 2023'!Q46+'[6]Oct-2023'!P46</f>
        <v>0</v>
      </c>
      <c r="R46" s="139">
        <v>0</v>
      </c>
      <c r="S46" s="139">
        <f>'[6]Sep 2023'!S46+'[6]Oct-2023'!R46</f>
        <v>0</v>
      </c>
      <c r="T46" s="139">
        <f t="shared" si="2"/>
        <v>47.03</v>
      </c>
      <c r="U46" s="139">
        <f t="shared" si="3"/>
        <v>8171.0850000000009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f>'[6]Sep 2023'!H47</f>
        <v>9363.8299999999945</v>
      </c>
      <c r="D47" s="139">
        <v>5.34</v>
      </c>
      <c r="E47" s="139">
        <f>'[6]Sep 2023'!E47+'[6]Oct-2023'!D47</f>
        <v>291.46999999999991</v>
      </c>
      <c r="F47" s="139">
        <v>0</v>
      </c>
      <c r="G47" s="139">
        <f>'[6]Sep 2023'!G47+'[6]Oct-2023'!F47</f>
        <v>0</v>
      </c>
      <c r="H47" s="139">
        <f t="shared" si="0"/>
        <v>9369.1699999999946</v>
      </c>
      <c r="I47" s="139">
        <f>'[6]Sep 2023'!N47</f>
        <v>3.13</v>
      </c>
      <c r="J47" s="139">
        <v>0</v>
      </c>
      <c r="K47" s="139">
        <f>'[6]Sep 2023'!K47+'[6]Oct-2023'!J47</f>
        <v>0</v>
      </c>
      <c r="L47" s="139">
        <v>0</v>
      </c>
      <c r="M47" s="139">
        <f>'[6]Sep 2023'!M47+'[6]Oct-2023'!L47</f>
        <v>0</v>
      </c>
      <c r="N47" s="139">
        <f t="shared" si="1"/>
        <v>3.13</v>
      </c>
      <c r="O47" s="139">
        <f>'[6]Sep 2023'!T47</f>
        <v>118.94999999999999</v>
      </c>
      <c r="P47" s="139">
        <v>0</v>
      </c>
      <c r="Q47" s="139">
        <f>'[6]Sep 2023'!Q47+'[6]Oct-2023'!P47</f>
        <v>0</v>
      </c>
      <c r="R47" s="139">
        <v>0</v>
      </c>
      <c r="S47" s="139">
        <f>'[6]Sep 2023'!S47+'[6]Oct-2023'!R47</f>
        <v>0</v>
      </c>
      <c r="T47" s="139">
        <f t="shared" si="2"/>
        <v>118.94999999999999</v>
      </c>
      <c r="U47" s="139">
        <f t="shared" si="3"/>
        <v>9491.2499999999945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f>'[6]Sep 2023'!H48</f>
        <v>8647.8489999999983</v>
      </c>
      <c r="D48" s="139">
        <v>9.52</v>
      </c>
      <c r="E48" s="139">
        <f>'[6]Sep 2023'!E48+'[6]Oct-2023'!D48</f>
        <v>51.42</v>
      </c>
      <c r="F48" s="139">
        <v>0</v>
      </c>
      <c r="G48" s="139">
        <f>'[6]Sep 2023'!G48+'[6]Oct-2023'!F48</f>
        <v>0</v>
      </c>
      <c r="H48" s="139">
        <f t="shared" si="0"/>
        <v>8657.3689999999988</v>
      </c>
      <c r="I48" s="139">
        <f>'[6]Sep 2023'!N48</f>
        <v>5.0249999999999995</v>
      </c>
      <c r="J48" s="139">
        <v>0</v>
      </c>
      <c r="K48" s="139">
        <f>'[6]Sep 2023'!K48+'[6]Oct-2023'!J48</f>
        <v>0</v>
      </c>
      <c r="L48" s="139">
        <v>0</v>
      </c>
      <c r="M48" s="139">
        <f>'[6]Sep 2023'!M48+'[6]Oct-2023'!L48</f>
        <v>0</v>
      </c>
      <c r="N48" s="139">
        <f t="shared" si="1"/>
        <v>5.0249999999999995</v>
      </c>
      <c r="O48" s="139">
        <f>'[6]Sep 2023'!T48</f>
        <v>4.21</v>
      </c>
      <c r="P48" s="139">
        <v>0</v>
      </c>
      <c r="Q48" s="139">
        <f>'[6]Sep 2023'!Q48+'[6]Oct-2023'!P48</f>
        <v>0</v>
      </c>
      <c r="R48" s="139">
        <v>0</v>
      </c>
      <c r="S48" s="139">
        <f>'[6]Sep 2023'!S48+'[6]Oct-2023'!R48</f>
        <v>0</v>
      </c>
      <c r="T48" s="139">
        <f t="shared" si="2"/>
        <v>4.21</v>
      </c>
      <c r="U48" s="139">
        <f t="shared" si="3"/>
        <v>8666.6039999999975</v>
      </c>
    </row>
    <row r="49" spans="1:21" s="111" customFormat="1" ht="38.25" customHeight="1" x14ac:dyDescent="0.4">
      <c r="A49" s="240" t="s">
        <v>117</v>
      </c>
      <c r="B49" s="240"/>
      <c r="C49" s="141">
        <f>SUM(C45:C48)</f>
        <v>34595.676099999997</v>
      </c>
      <c r="D49" s="141">
        <f t="shared" ref="D49:U49" si="14">SUM(D45:D48)</f>
        <v>35.67</v>
      </c>
      <c r="E49" s="141">
        <f t="shared" si="14"/>
        <v>636.64999999999986</v>
      </c>
      <c r="F49" s="141">
        <f t="shared" si="14"/>
        <v>0</v>
      </c>
      <c r="G49" s="141">
        <f t="shared" si="14"/>
        <v>0</v>
      </c>
      <c r="H49" s="141">
        <f t="shared" si="14"/>
        <v>34631.346099999995</v>
      </c>
      <c r="I49" s="141">
        <f t="shared" si="14"/>
        <v>269.65499999999992</v>
      </c>
      <c r="J49" s="141">
        <f t="shared" si="14"/>
        <v>0.06</v>
      </c>
      <c r="K49" s="141">
        <f t="shared" si="14"/>
        <v>0.51</v>
      </c>
      <c r="L49" s="141">
        <f t="shared" si="14"/>
        <v>0</v>
      </c>
      <c r="M49" s="141">
        <f t="shared" si="14"/>
        <v>0</v>
      </c>
      <c r="N49" s="141">
        <f t="shared" si="14"/>
        <v>269.71499999999992</v>
      </c>
      <c r="O49" s="141">
        <f t="shared" si="14"/>
        <v>254.72</v>
      </c>
      <c r="P49" s="141">
        <f t="shared" si="14"/>
        <v>0</v>
      </c>
      <c r="Q49" s="141">
        <f t="shared" si="14"/>
        <v>0.14000000000000001</v>
      </c>
      <c r="R49" s="141">
        <f t="shared" si="14"/>
        <v>0</v>
      </c>
      <c r="S49" s="141">
        <f t="shared" si="14"/>
        <v>0</v>
      </c>
      <c r="T49" s="141">
        <f t="shared" si="14"/>
        <v>254.72</v>
      </c>
      <c r="U49" s="141">
        <f t="shared" si="14"/>
        <v>35155.781099999993</v>
      </c>
    </row>
    <row r="50" spans="1:21" s="145" customFormat="1" ht="38.25" customHeight="1" x14ac:dyDescent="0.4">
      <c r="A50" s="243" t="s">
        <v>118</v>
      </c>
      <c r="B50" s="243"/>
      <c r="C50" s="141">
        <f>C44+C49</f>
        <v>73510.997099999979</v>
      </c>
      <c r="D50" s="141">
        <f t="shared" ref="D50:U50" si="15">D44+D49</f>
        <v>71.94</v>
      </c>
      <c r="E50" s="141">
        <f t="shared" si="15"/>
        <v>1127.585</v>
      </c>
      <c r="F50" s="141">
        <f t="shared" si="15"/>
        <v>0</v>
      </c>
      <c r="G50" s="141">
        <f t="shared" si="15"/>
        <v>0</v>
      </c>
      <c r="H50" s="141">
        <f t="shared" si="15"/>
        <v>73582.937099999981</v>
      </c>
      <c r="I50" s="141">
        <f t="shared" si="15"/>
        <v>496.1749999999999</v>
      </c>
      <c r="J50" s="141">
        <f t="shared" si="15"/>
        <v>0.06</v>
      </c>
      <c r="K50" s="141">
        <f t="shared" si="15"/>
        <v>0.51</v>
      </c>
      <c r="L50" s="141">
        <f t="shared" si="15"/>
        <v>0</v>
      </c>
      <c r="M50" s="141">
        <f t="shared" si="15"/>
        <v>0</v>
      </c>
      <c r="N50" s="141">
        <f t="shared" si="15"/>
        <v>496.2349999999999</v>
      </c>
      <c r="O50" s="141">
        <f t="shared" si="15"/>
        <v>738.09</v>
      </c>
      <c r="P50" s="141">
        <f t="shared" si="15"/>
        <v>0</v>
      </c>
      <c r="Q50" s="141">
        <f t="shared" si="15"/>
        <v>0.14000000000000001</v>
      </c>
      <c r="R50" s="141">
        <f t="shared" si="15"/>
        <v>0</v>
      </c>
      <c r="S50" s="141">
        <f t="shared" si="15"/>
        <v>0</v>
      </c>
      <c r="T50" s="141">
        <f t="shared" si="15"/>
        <v>738.09</v>
      </c>
      <c r="U50" s="141">
        <f t="shared" si="15"/>
        <v>74817.262099999993</v>
      </c>
    </row>
    <row r="51" spans="1:21" s="146" customFormat="1" ht="38.25" customHeight="1" x14ac:dyDescent="0.4">
      <c r="A51" s="237" t="s">
        <v>119</v>
      </c>
      <c r="B51" s="237"/>
      <c r="C51" s="141">
        <f>C25+C39+C50</f>
        <v>121103.54389999999</v>
      </c>
      <c r="D51" s="141">
        <f t="shared" ref="D51:U51" si="16">D25+D39+D50</f>
        <v>190.05</v>
      </c>
      <c r="E51" s="141">
        <f t="shared" si="16"/>
        <v>1908.395</v>
      </c>
      <c r="F51" s="141">
        <f t="shared" si="16"/>
        <v>0.71</v>
      </c>
      <c r="G51" s="141">
        <f t="shared" si="16"/>
        <v>51.63</v>
      </c>
      <c r="H51" s="187">
        <f t="shared" si="16"/>
        <v>121292.88389999997</v>
      </c>
      <c r="I51" s="141">
        <f t="shared" si="16"/>
        <v>11239.582</v>
      </c>
      <c r="J51" s="141">
        <f t="shared" si="16"/>
        <v>36.000000000000007</v>
      </c>
      <c r="K51" s="141">
        <f t="shared" si="16"/>
        <v>367.18599999999992</v>
      </c>
      <c r="L51" s="141">
        <f t="shared" si="16"/>
        <v>0</v>
      </c>
      <c r="M51" s="141">
        <f t="shared" si="16"/>
        <v>0.49</v>
      </c>
      <c r="N51" s="187">
        <f t="shared" si="16"/>
        <v>11275.582</v>
      </c>
      <c r="O51" s="141">
        <f t="shared" si="16"/>
        <v>1597.5900000000001</v>
      </c>
      <c r="P51" s="141">
        <f t="shared" si="16"/>
        <v>0.11</v>
      </c>
      <c r="Q51" s="141">
        <f t="shared" si="16"/>
        <v>2.5</v>
      </c>
      <c r="R51" s="141">
        <f t="shared" si="16"/>
        <v>0</v>
      </c>
      <c r="S51" s="141">
        <f t="shared" si="16"/>
        <v>82.039999999999992</v>
      </c>
      <c r="T51" s="187">
        <f t="shared" si="16"/>
        <v>1597.6999999999998</v>
      </c>
      <c r="U51" s="141">
        <f t="shared" si="16"/>
        <v>134166.16590000002</v>
      </c>
    </row>
    <row r="52" spans="1:21" s="111" customFormat="1" ht="24" customHeight="1" x14ac:dyDescent="0.4">
      <c r="A52" s="115"/>
      <c r="B52" s="115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</row>
    <row r="53" spans="1:21" s="111" customFormat="1" ht="19.5" customHeight="1" x14ac:dyDescent="0.4">
      <c r="A53" s="115"/>
      <c r="B53" s="115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</row>
    <row r="54" spans="1:21" s="115" customFormat="1" ht="24.75" hidden="1" customHeight="1" x14ac:dyDescent="0.4">
      <c r="B54" s="179"/>
      <c r="C54" s="189" t="s">
        <v>54</v>
      </c>
      <c r="D54" s="189"/>
      <c r="E54" s="189"/>
      <c r="F54" s="189"/>
      <c r="G54" s="189"/>
      <c r="H54" s="118"/>
      <c r="I54" s="179"/>
      <c r="J54" s="179">
        <f>D51+J51+P51-F51-L51-R51</f>
        <v>225.45000000000002</v>
      </c>
      <c r="K54" s="179"/>
      <c r="L54" s="179"/>
      <c r="M54" s="179"/>
      <c r="N54" s="179"/>
      <c r="R54" s="179"/>
      <c r="U54" s="179"/>
    </row>
    <row r="55" spans="1:21" s="115" customFormat="1" ht="30" hidden="1" customHeight="1" x14ac:dyDescent="0.35">
      <c r="B55" s="179"/>
      <c r="C55" s="189" t="s">
        <v>55</v>
      </c>
      <c r="D55" s="189"/>
      <c r="E55" s="189"/>
      <c r="F55" s="189"/>
      <c r="G55" s="189"/>
      <c r="H55" s="119"/>
      <c r="I55" s="179"/>
      <c r="J55" s="179">
        <f>E51+K51+Q51-G51-M51-S51</f>
        <v>2143.9210000000003</v>
      </c>
      <c r="K55" s="179"/>
      <c r="L55" s="179"/>
      <c r="M55" s="179"/>
      <c r="N55" s="179"/>
      <c r="R55" s="179"/>
      <c r="T55" s="179"/>
    </row>
    <row r="56" spans="1:21" ht="33" hidden="1" customHeight="1" x14ac:dyDescent="0.5">
      <c r="C56" s="189" t="s">
        <v>56</v>
      </c>
      <c r="D56" s="189"/>
      <c r="E56" s="189"/>
      <c r="F56" s="189"/>
      <c r="G56" s="189"/>
      <c r="H56" s="119"/>
      <c r="I56" s="121"/>
      <c r="J56" s="179">
        <f>H51+N51+T51</f>
        <v>134166.16589999999</v>
      </c>
      <c r="K56" s="119"/>
      <c r="L56" s="119"/>
      <c r="M56" s="142" t="e">
        <f>#REF!+'Oct-2023'!J54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79"/>
      <c r="E57" s="179"/>
      <c r="F57" s="179"/>
      <c r="G57" s="179"/>
      <c r="H57" s="119"/>
      <c r="I57" s="121"/>
      <c r="J57" s="179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79"/>
      <c r="E58" s="179"/>
      <c r="F58" s="179"/>
      <c r="G58" s="179"/>
      <c r="H58" s="119"/>
      <c r="I58" s="121"/>
      <c r="J58" s="179"/>
      <c r="K58" s="119"/>
      <c r="L58" s="119"/>
      <c r="M58" s="142" t="e">
        <f>#REF!+'Oct-2023'!J54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32" t="s">
        <v>57</v>
      </c>
      <c r="C59" s="232"/>
      <c r="D59" s="232"/>
      <c r="E59" s="232"/>
      <c r="F59" s="232"/>
      <c r="G59" s="153"/>
      <c r="H59" s="154"/>
      <c r="I59" s="155"/>
      <c r="J59" s="234"/>
      <c r="K59" s="233"/>
      <c r="L59" s="233"/>
      <c r="M59" s="169" t="e">
        <f>#REF!+'Oct-2023'!J54</f>
        <v>#REF!</v>
      </c>
      <c r="N59" s="154"/>
      <c r="O59" s="154"/>
      <c r="P59" s="180"/>
      <c r="Q59" s="232" t="s">
        <v>58</v>
      </c>
      <c r="R59" s="232"/>
      <c r="S59" s="232"/>
      <c r="T59" s="232"/>
      <c r="U59" s="232"/>
    </row>
    <row r="60" spans="1:21" s="152" customFormat="1" ht="37.5" hidden="1" customHeight="1" x14ac:dyDescent="0.45">
      <c r="B60" s="232" t="s">
        <v>59</v>
      </c>
      <c r="C60" s="232"/>
      <c r="D60" s="232"/>
      <c r="E60" s="232"/>
      <c r="F60" s="232"/>
      <c r="G60" s="154"/>
      <c r="H60" s="153"/>
      <c r="I60" s="156"/>
      <c r="J60" s="157"/>
      <c r="K60" s="181"/>
      <c r="L60" s="157"/>
      <c r="M60" s="154"/>
      <c r="N60" s="153"/>
      <c r="O60" s="154"/>
      <c r="P60" s="180"/>
      <c r="Q60" s="232" t="s">
        <v>59</v>
      </c>
      <c r="R60" s="232"/>
      <c r="S60" s="232"/>
      <c r="T60" s="232"/>
      <c r="U60" s="232"/>
    </row>
    <row r="61" spans="1:21" s="152" customFormat="1" ht="37.5" hidden="1" customHeight="1" x14ac:dyDescent="0.45">
      <c r="I61" s="158"/>
      <c r="J61" s="233" t="s">
        <v>61</v>
      </c>
      <c r="K61" s="233"/>
      <c r="L61" s="233"/>
      <c r="M61" s="159" t="e">
        <f>#REF!+'Oct-2023'!J54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#REF!+'Oct-2023'!J54</f>
        <v>#REF!</v>
      </c>
      <c r="I62" s="158"/>
      <c r="J62" s="233" t="s">
        <v>62</v>
      </c>
      <c r="K62" s="233"/>
      <c r="L62" s="233"/>
      <c r="M62" s="159" t="e">
        <f>#REF!+'Oct-2023'!J54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B60:F60"/>
    <mergeCell ref="Q60:U60"/>
    <mergeCell ref="J61:L61"/>
    <mergeCell ref="J62:L62"/>
    <mergeCell ref="C54:G54"/>
    <mergeCell ref="C55:G55"/>
    <mergeCell ref="C56:G56"/>
    <mergeCell ref="B59:F59"/>
    <mergeCell ref="J59:L59"/>
    <mergeCell ref="Q59:U59"/>
    <mergeCell ref="U5:U6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1:B11"/>
    <mergeCell ref="F5:G5"/>
    <mergeCell ref="H5:H6"/>
    <mergeCell ref="I5:I6"/>
    <mergeCell ref="J5:K5"/>
    <mergeCell ref="L5:M5"/>
    <mergeCell ref="N5:N6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R5:S5"/>
    <mergeCell ref="T5:T6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tabSelected="1" zoomScale="48" zoomScaleNormal="48" workbookViewId="0">
      <pane ySplit="6" topLeftCell="A43" activePane="bottomLeft" state="frozen"/>
      <selection pane="bottomLeft" activeCell="G67" sqref="G6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46" t="s">
        <v>123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</row>
    <row r="2" spans="1:21" ht="54" customHeight="1" x14ac:dyDescent="0.35">
      <c r="A2" s="248" t="s">
        <v>140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1" ht="32.25" customHeight="1" x14ac:dyDescent="0.35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</row>
    <row r="4" spans="1:21" s="108" customFormat="1" ht="43.5" customHeight="1" x14ac:dyDescent="0.25">
      <c r="A4" s="250" t="s">
        <v>122</v>
      </c>
      <c r="B4" s="235" t="s">
        <v>121</v>
      </c>
      <c r="C4" s="192" t="s">
        <v>131</v>
      </c>
      <c r="D4" s="193"/>
      <c r="E4" s="193"/>
      <c r="F4" s="193"/>
      <c r="G4" s="193"/>
      <c r="H4" s="193"/>
      <c r="I4" s="192" t="s">
        <v>130</v>
      </c>
      <c r="J4" s="193"/>
      <c r="K4" s="193"/>
      <c r="L4" s="193"/>
      <c r="M4" s="193"/>
      <c r="N4" s="193"/>
      <c r="O4" s="192" t="s">
        <v>129</v>
      </c>
      <c r="P4" s="193"/>
      <c r="Q4" s="193"/>
      <c r="R4" s="193"/>
      <c r="S4" s="193"/>
      <c r="T4" s="193"/>
      <c r="U4" s="184"/>
    </row>
    <row r="5" spans="1:21" s="108" customFormat="1" ht="54.75" customHeight="1" x14ac:dyDescent="0.25">
      <c r="A5" s="252"/>
      <c r="B5" s="253"/>
      <c r="C5" s="244" t="s">
        <v>6</v>
      </c>
      <c r="D5" s="238" t="s">
        <v>127</v>
      </c>
      <c r="E5" s="239"/>
      <c r="F5" s="238" t="s">
        <v>126</v>
      </c>
      <c r="G5" s="239"/>
      <c r="H5" s="244" t="s">
        <v>9</v>
      </c>
      <c r="I5" s="244" t="s">
        <v>6</v>
      </c>
      <c r="J5" s="238" t="s">
        <v>127</v>
      </c>
      <c r="K5" s="239"/>
      <c r="L5" s="238" t="s">
        <v>126</v>
      </c>
      <c r="M5" s="239"/>
      <c r="N5" s="244" t="s">
        <v>9</v>
      </c>
      <c r="O5" s="244" t="s">
        <v>6</v>
      </c>
      <c r="P5" s="238" t="s">
        <v>127</v>
      </c>
      <c r="Q5" s="239"/>
      <c r="R5" s="238" t="s">
        <v>126</v>
      </c>
      <c r="S5" s="239"/>
      <c r="T5" s="244" t="s">
        <v>9</v>
      </c>
      <c r="U5" s="235" t="s">
        <v>128</v>
      </c>
    </row>
    <row r="6" spans="1:21" s="108" customFormat="1" ht="38.25" customHeight="1" x14ac:dyDescent="0.25">
      <c r="A6" s="252"/>
      <c r="B6" s="236"/>
      <c r="C6" s="245"/>
      <c r="D6" s="172" t="s">
        <v>124</v>
      </c>
      <c r="E6" s="172" t="s">
        <v>125</v>
      </c>
      <c r="F6" s="172" t="s">
        <v>124</v>
      </c>
      <c r="G6" s="172" t="s">
        <v>125</v>
      </c>
      <c r="H6" s="245"/>
      <c r="I6" s="245"/>
      <c r="J6" s="172" t="s">
        <v>124</v>
      </c>
      <c r="K6" s="172" t="s">
        <v>125</v>
      </c>
      <c r="L6" s="172" t="s">
        <v>124</v>
      </c>
      <c r="M6" s="172" t="s">
        <v>125</v>
      </c>
      <c r="N6" s="245"/>
      <c r="O6" s="245"/>
      <c r="P6" s="172" t="s">
        <v>124</v>
      </c>
      <c r="Q6" s="172" t="s">
        <v>125</v>
      </c>
      <c r="R6" s="172" t="s">
        <v>124</v>
      </c>
      <c r="S6" s="172" t="s">
        <v>125</v>
      </c>
      <c r="T6" s="245"/>
      <c r="U6" s="236"/>
    </row>
    <row r="7" spans="1:21" ht="38.25" customHeight="1" x14ac:dyDescent="0.35">
      <c r="A7" s="171">
        <v>1</v>
      </c>
      <c r="B7" s="172" t="s">
        <v>78</v>
      </c>
      <c r="C7" s="139">
        <v>7.179999999999982</v>
      </c>
      <c r="D7" s="139">
        <v>0</v>
      </c>
      <c r="E7" s="139">
        <v>0</v>
      </c>
      <c r="F7" s="139">
        <v>0</v>
      </c>
      <c r="G7" s="139">
        <v>0</v>
      </c>
      <c r="H7" s="139">
        <v>7.179999999999982</v>
      </c>
      <c r="I7" s="139">
        <v>726.95699999999977</v>
      </c>
      <c r="J7" s="139">
        <v>1.9</v>
      </c>
      <c r="K7" s="139">
        <v>14.400000000000002</v>
      </c>
      <c r="L7" s="139">
        <v>0</v>
      </c>
      <c r="M7" s="139">
        <v>0</v>
      </c>
      <c r="N7" s="139">
        <v>728.85699999999974</v>
      </c>
      <c r="O7" s="139">
        <v>8.436000000000007</v>
      </c>
      <c r="P7" s="139">
        <v>0</v>
      </c>
      <c r="Q7" s="139">
        <v>0</v>
      </c>
      <c r="R7" s="139">
        <v>0</v>
      </c>
      <c r="S7" s="139">
        <v>0</v>
      </c>
      <c r="T7" s="139">
        <v>8.436000000000007</v>
      </c>
      <c r="U7" s="139">
        <v>744.47299999999973</v>
      </c>
    </row>
    <row r="8" spans="1:21" ht="38.25" customHeight="1" x14ac:dyDescent="0.35">
      <c r="A8" s="171">
        <v>2</v>
      </c>
      <c r="B8" s="172" t="s">
        <v>79</v>
      </c>
      <c r="C8" s="139">
        <v>265.98999999999995</v>
      </c>
      <c r="D8" s="139">
        <v>0</v>
      </c>
      <c r="E8" s="139">
        <v>0</v>
      </c>
      <c r="F8" s="139">
        <v>0</v>
      </c>
      <c r="G8" s="139">
        <v>0</v>
      </c>
      <c r="H8" s="139">
        <v>265.98999999999995</v>
      </c>
      <c r="I8" s="139">
        <v>483.23600000000016</v>
      </c>
      <c r="J8" s="139">
        <v>2.9</v>
      </c>
      <c r="K8" s="139">
        <v>87.990000000000009</v>
      </c>
      <c r="L8" s="139">
        <v>0</v>
      </c>
      <c r="M8" s="139">
        <v>0</v>
      </c>
      <c r="N8" s="139">
        <v>486.13600000000014</v>
      </c>
      <c r="O8" s="139">
        <v>66.290000000000006</v>
      </c>
      <c r="P8" s="139">
        <v>0</v>
      </c>
      <c r="Q8" s="139">
        <v>0</v>
      </c>
      <c r="R8" s="139">
        <v>0</v>
      </c>
      <c r="S8" s="139">
        <v>0</v>
      </c>
      <c r="T8" s="139">
        <v>66.290000000000006</v>
      </c>
      <c r="U8" s="139">
        <v>818.41600000000005</v>
      </c>
    </row>
    <row r="9" spans="1:21" ht="38.25" customHeight="1" x14ac:dyDescent="0.35">
      <c r="A9" s="171">
        <v>3</v>
      </c>
      <c r="B9" s="172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v>209.16</v>
      </c>
      <c r="I9" s="139">
        <v>943.68799999999987</v>
      </c>
      <c r="J9" s="139">
        <v>7.8</v>
      </c>
      <c r="K9" s="139">
        <v>48.239999999999995</v>
      </c>
      <c r="L9" s="139">
        <v>0</v>
      </c>
      <c r="M9" s="139">
        <v>0</v>
      </c>
      <c r="N9" s="139">
        <v>951.48799999999983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44.739999999999995</v>
      </c>
      <c r="U9" s="139">
        <v>1205.3879999999999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372.56099999999986</v>
      </c>
      <c r="J10" s="139">
        <v>0.39500000000000002</v>
      </c>
      <c r="K10" s="139">
        <v>7.9830000000000005</v>
      </c>
      <c r="L10" s="139">
        <v>0</v>
      </c>
      <c r="M10" s="139">
        <v>0</v>
      </c>
      <c r="N10" s="139">
        <v>372.95599999999985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v>0.20000000000000007</v>
      </c>
      <c r="U10" s="139">
        <v>373.15599999999984</v>
      </c>
    </row>
    <row r="11" spans="1:21" s="111" customFormat="1" ht="38.25" customHeight="1" x14ac:dyDescent="0.4">
      <c r="A11" s="238" t="s">
        <v>82</v>
      </c>
      <c r="B11" s="239"/>
      <c r="C11" s="139">
        <v>482.32999999999993</v>
      </c>
      <c r="D11" s="141">
        <v>0</v>
      </c>
      <c r="E11" s="141">
        <v>0</v>
      </c>
      <c r="F11" s="141">
        <v>0</v>
      </c>
      <c r="G11" s="141">
        <v>0</v>
      </c>
      <c r="H11" s="141">
        <v>482.32999999999993</v>
      </c>
      <c r="I11" s="139">
        <v>2526.4419999999996</v>
      </c>
      <c r="J11" s="141">
        <v>12.994999999999999</v>
      </c>
      <c r="K11" s="141">
        <v>158.613</v>
      </c>
      <c r="L11" s="141">
        <v>0</v>
      </c>
      <c r="M11" s="141">
        <v>0</v>
      </c>
      <c r="N11" s="141">
        <v>2539.4369999999994</v>
      </c>
      <c r="O11" s="139">
        <v>119.66600000000001</v>
      </c>
      <c r="P11" s="141">
        <v>0</v>
      </c>
      <c r="Q11" s="141">
        <v>0</v>
      </c>
      <c r="R11" s="141">
        <v>0</v>
      </c>
      <c r="S11" s="141">
        <v>0</v>
      </c>
      <c r="T11" s="141">
        <v>119.66600000000001</v>
      </c>
      <c r="U11" s="141">
        <v>3141.4329999999995</v>
      </c>
    </row>
    <row r="12" spans="1:21" ht="38.25" customHeight="1" x14ac:dyDescent="0.35">
      <c r="A12" s="171">
        <v>4</v>
      </c>
      <c r="B12" s="172" t="s">
        <v>83</v>
      </c>
      <c r="C12" s="139">
        <v>22.179999999999609</v>
      </c>
      <c r="D12" s="139">
        <v>0</v>
      </c>
      <c r="E12" s="139">
        <v>0</v>
      </c>
      <c r="F12" s="139">
        <v>0</v>
      </c>
      <c r="G12" s="139">
        <v>0</v>
      </c>
      <c r="H12" s="139">
        <v>22.179999999999609</v>
      </c>
      <c r="I12" s="139">
        <v>1295.2649999999996</v>
      </c>
      <c r="J12" s="182">
        <v>1.25</v>
      </c>
      <c r="K12" s="139">
        <v>20.080000000000002</v>
      </c>
      <c r="L12" s="139">
        <v>0</v>
      </c>
      <c r="M12" s="139">
        <v>0</v>
      </c>
      <c r="N12" s="139">
        <v>1296.5149999999996</v>
      </c>
      <c r="O12" s="139">
        <v>1.9700000000000095</v>
      </c>
      <c r="P12" s="139">
        <v>0</v>
      </c>
      <c r="Q12" s="139">
        <v>0</v>
      </c>
      <c r="R12" s="139">
        <v>0</v>
      </c>
      <c r="S12" s="139">
        <v>0</v>
      </c>
      <c r="T12" s="139">
        <v>1.9700000000000095</v>
      </c>
      <c r="U12" s="139">
        <v>1320.6649999999993</v>
      </c>
    </row>
    <row r="13" spans="1:21" ht="38.25" customHeight="1" x14ac:dyDescent="0.35">
      <c r="A13" s="171">
        <v>5</v>
      </c>
      <c r="B13" s="172" t="s">
        <v>84</v>
      </c>
      <c r="C13" s="139">
        <v>312.23000000000013</v>
      </c>
      <c r="D13" s="139">
        <v>0</v>
      </c>
      <c r="E13" s="139">
        <v>0</v>
      </c>
      <c r="F13" s="139">
        <v>0</v>
      </c>
      <c r="G13" s="139">
        <v>0</v>
      </c>
      <c r="H13" s="139">
        <v>312.23000000000013</v>
      </c>
      <c r="I13" s="139">
        <v>557.46200000000022</v>
      </c>
      <c r="J13" s="182">
        <v>1.42</v>
      </c>
      <c r="K13" s="139">
        <v>13.350000000000001</v>
      </c>
      <c r="L13" s="139">
        <v>0</v>
      </c>
      <c r="M13" s="139">
        <v>0</v>
      </c>
      <c r="N13" s="139">
        <v>558.88200000000018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v>68.39</v>
      </c>
      <c r="U13" s="139">
        <v>939.50200000000029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1216.4399999999994</v>
      </c>
      <c r="D14" s="139">
        <v>0</v>
      </c>
      <c r="E14" s="139">
        <v>0</v>
      </c>
      <c r="F14" s="139">
        <v>0</v>
      </c>
      <c r="G14" s="139">
        <v>0</v>
      </c>
      <c r="H14" s="139">
        <v>1216.4399999999994</v>
      </c>
      <c r="I14" s="139">
        <v>934.74800000000039</v>
      </c>
      <c r="J14" s="182">
        <v>1.98</v>
      </c>
      <c r="K14" s="139">
        <v>33.229999999999997</v>
      </c>
      <c r="L14" s="139">
        <v>0</v>
      </c>
      <c r="M14" s="139">
        <v>0</v>
      </c>
      <c r="N14" s="139">
        <v>936.72800000000041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v>61.329999999999991</v>
      </c>
      <c r="U14" s="139">
        <v>2214.4979999999996</v>
      </c>
    </row>
    <row r="15" spans="1:21" s="111" customFormat="1" ht="38.25" customHeight="1" x14ac:dyDescent="0.4">
      <c r="A15" s="238" t="s">
        <v>86</v>
      </c>
      <c r="B15" s="239"/>
      <c r="C15" s="139">
        <v>1550.849999999999</v>
      </c>
      <c r="D15" s="141">
        <v>0</v>
      </c>
      <c r="E15" s="141">
        <v>0</v>
      </c>
      <c r="F15" s="141">
        <v>0</v>
      </c>
      <c r="G15" s="141">
        <v>0</v>
      </c>
      <c r="H15" s="141">
        <v>1550.849999999999</v>
      </c>
      <c r="I15" s="139">
        <v>2787.4750000000004</v>
      </c>
      <c r="J15" s="141">
        <v>4.6500000000000004</v>
      </c>
      <c r="K15" s="141">
        <v>66.66</v>
      </c>
      <c r="L15" s="141">
        <v>0</v>
      </c>
      <c r="M15" s="141">
        <v>0</v>
      </c>
      <c r="N15" s="141">
        <v>2792.1250000000005</v>
      </c>
      <c r="O15" s="139">
        <v>131.69</v>
      </c>
      <c r="P15" s="141">
        <v>0</v>
      </c>
      <c r="Q15" s="141">
        <v>0</v>
      </c>
      <c r="R15" s="141">
        <v>0</v>
      </c>
      <c r="S15" s="141">
        <v>0</v>
      </c>
      <c r="T15" s="141">
        <v>131.69</v>
      </c>
      <c r="U15" s="141">
        <v>4474.6649999999991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760.26400000000046</v>
      </c>
      <c r="D16" s="139">
        <v>2.1399999999999997</v>
      </c>
      <c r="E16" s="139">
        <v>13.479999999999997</v>
      </c>
      <c r="F16" s="139">
        <v>0</v>
      </c>
      <c r="G16" s="139">
        <v>7.24</v>
      </c>
      <c r="H16" s="139">
        <v>762.40400000000045</v>
      </c>
      <c r="I16" s="139">
        <v>585.66600000000017</v>
      </c>
      <c r="J16" s="139">
        <v>3.09</v>
      </c>
      <c r="K16" s="139">
        <v>11.780000000000001</v>
      </c>
      <c r="L16" s="139">
        <v>0</v>
      </c>
      <c r="M16" s="139">
        <v>0</v>
      </c>
      <c r="N16" s="139">
        <v>588.7560000000002</v>
      </c>
      <c r="O16" s="139">
        <v>113.46200000000005</v>
      </c>
      <c r="P16" s="139">
        <v>0</v>
      </c>
      <c r="Q16" s="139">
        <v>0.19</v>
      </c>
      <c r="R16" s="139">
        <v>0</v>
      </c>
      <c r="S16" s="139">
        <v>64.17</v>
      </c>
      <c r="T16" s="139">
        <v>113.46200000000005</v>
      </c>
      <c r="U16" s="139">
        <v>1464.6220000000008</v>
      </c>
    </row>
    <row r="17" spans="1:21" ht="38.25" customHeight="1" x14ac:dyDescent="0.35">
      <c r="A17" s="171">
        <v>9</v>
      </c>
      <c r="B17" s="172" t="s">
        <v>120</v>
      </c>
      <c r="C17" s="139">
        <v>2.7259999999999476</v>
      </c>
      <c r="D17" s="139">
        <v>0</v>
      </c>
      <c r="E17" s="139">
        <v>0.05</v>
      </c>
      <c r="F17" s="139">
        <v>0</v>
      </c>
      <c r="G17" s="139">
        <v>0</v>
      </c>
      <c r="H17" s="139">
        <v>2.7259999999999476</v>
      </c>
      <c r="I17" s="139">
        <v>609.45000000000005</v>
      </c>
      <c r="J17" s="139">
        <v>0.95</v>
      </c>
      <c r="K17" s="139">
        <v>21.709999999999997</v>
      </c>
      <c r="L17" s="139">
        <v>0</v>
      </c>
      <c r="M17" s="139">
        <v>0.43</v>
      </c>
      <c r="N17" s="139">
        <v>610.40000000000009</v>
      </c>
      <c r="O17" s="139">
        <v>1.5399999999999998</v>
      </c>
      <c r="P17" s="139">
        <v>0</v>
      </c>
      <c r="Q17" s="139">
        <v>1.22</v>
      </c>
      <c r="R17" s="139">
        <v>0</v>
      </c>
      <c r="S17" s="139">
        <v>1.63</v>
      </c>
      <c r="T17" s="139">
        <v>1.5399999999999998</v>
      </c>
      <c r="U17" s="139">
        <v>614.66600000000005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90.266000000000147</v>
      </c>
      <c r="D18" s="139">
        <v>0</v>
      </c>
      <c r="E18" s="139">
        <v>0.05</v>
      </c>
      <c r="F18" s="139">
        <v>0</v>
      </c>
      <c r="G18" s="139">
        <v>0.05</v>
      </c>
      <c r="H18" s="139">
        <v>90.266000000000147</v>
      </c>
      <c r="I18" s="139">
        <v>625.03000000000009</v>
      </c>
      <c r="J18" s="139">
        <v>0.45</v>
      </c>
      <c r="K18" s="139">
        <v>8.1850000000000005</v>
      </c>
      <c r="L18" s="139">
        <v>1.03</v>
      </c>
      <c r="M18" s="139">
        <v>1.03</v>
      </c>
      <c r="N18" s="139">
        <v>624.45000000000016</v>
      </c>
      <c r="O18" s="139">
        <v>35.689999999999991</v>
      </c>
      <c r="P18" s="139">
        <v>0</v>
      </c>
      <c r="Q18" s="139">
        <v>0</v>
      </c>
      <c r="R18" s="139">
        <v>0</v>
      </c>
      <c r="S18" s="139">
        <v>0</v>
      </c>
      <c r="T18" s="139">
        <v>35.689999999999991</v>
      </c>
      <c r="U18" s="139">
        <v>750.40600000000029</v>
      </c>
    </row>
    <row r="19" spans="1:21" s="111" customFormat="1" ht="38.25" customHeight="1" x14ac:dyDescent="0.4">
      <c r="A19" s="238" t="s">
        <v>89</v>
      </c>
      <c r="B19" s="239"/>
      <c r="C19" s="139">
        <v>853.25600000000065</v>
      </c>
      <c r="D19" s="141">
        <v>2.1399999999999997</v>
      </c>
      <c r="E19" s="141">
        <v>13.579999999999998</v>
      </c>
      <c r="F19" s="141">
        <v>0</v>
      </c>
      <c r="G19" s="141">
        <v>7.29</v>
      </c>
      <c r="H19" s="141">
        <v>855.39600000000064</v>
      </c>
      <c r="I19" s="139">
        <v>1820.1460000000002</v>
      </c>
      <c r="J19" s="141">
        <v>4.49</v>
      </c>
      <c r="K19" s="141">
        <v>41.674999999999997</v>
      </c>
      <c r="L19" s="141">
        <v>1.03</v>
      </c>
      <c r="M19" s="141">
        <v>1.46</v>
      </c>
      <c r="N19" s="141">
        <v>1823.6060000000007</v>
      </c>
      <c r="O19" s="139">
        <v>150.69200000000004</v>
      </c>
      <c r="P19" s="141">
        <v>0</v>
      </c>
      <c r="Q19" s="141">
        <v>1.41</v>
      </c>
      <c r="R19" s="141">
        <v>0</v>
      </c>
      <c r="S19" s="141">
        <v>65.8</v>
      </c>
      <c r="T19" s="141">
        <v>150.69200000000004</v>
      </c>
      <c r="U19" s="141">
        <v>2829.6940000000013</v>
      </c>
    </row>
    <row r="20" spans="1:21" ht="38.25" customHeight="1" x14ac:dyDescent="0.35">
      <c r="A20" s="171">
        <v>8</v>
      </c>
      <c r="B20" s="172" t="s">
        <v>91</v>
      </c>
      <c r="C20" s="139">
        <v>607.42999999999984</v>
      </c>
      <c r="D20" s="139">
        <v>0</v>
      </c>
      <c r="E20" s="139">
        <v>0</v>
      </c>
      <c r="F20" s="139">
        <v>0</v>
      </c>
      <c r="G20" s="139">
        <v>0</v>
      </c>
      <c r="H20" s="139">
        <v>607.42999999999984</v>
      </c>
      <c r="I20" s="139">
        <v>772.5780000000002</v>
      </c>
      <c r="J20" s="139">
        <v>1.9</v>
      </c>
      <c r="K20" s="139">
        <v>26.09</v>
      </c>
      <c r="L20" s="139">
        <v>0</v>
      </c>
      <c r="M20" s="139">
        <v>0.02</v>
      </c>
      <c r="N20" s="139">
        <v>774.47800000000018</v>
      </c>
      <c r="O20" s="139">
        <v>37.580000000000005</v>
      </c>
      <c r="P20" s="139">
        <v>0</v>
      </c>
      <c r="Q20" s="139">
        <v>0</v>
      </c>
      <c r="R20" s="139">
        <v>0</v>
      </c>
      <c r="S20" s="139">
        <v>0</v>
      </c>
      <c r="T20" s="139">
        <v>37.580000000000005</v>
      </c>
      <c r="U20" s="139">
        <v>1419.4879999999998</v>
      </c>
    </row>
    <row r="21" spans="1:21" ht="38.25" customHeight="1" x14ac:dyDescent="0.35">
      <c r="A21" s="171">
        <v>9</v>
      </c>
      <c r="B21" s="172" t="s">
        <v>90</v>
      </c>
      <c r="C21" s="139">
        <v>1.2000000000000002</v>
      </c>
      <c r="D21" s="139">
        <v>0</v>
      </c>
      <c r="E21" s="139">
        <v>0</v>
      </c>
      <c r="F21" s="139">
        <v>0</v>
      </c>
      <c r="G21" s="139">
        <v>0.87</v>
      </c>
      <c r="H21" s="139">
        <v>1.2000000000000002</v>
      </c>
      <c r="I21" s="139">
        <v>471.07700000000011</v>
      </c>
      <c r="J21" s="139">
        <v>0.74</v>
      </c>
      <c r="K21" s="139">
        <v>10.410000000000002</v>
      </c>
      <c r="L21" s="139">
        <v>0</v>
      </c>
      <c r="M21" s="139">
        <v>0.02</v>
      </c>
      <c r="N21" s="139">
        <v>471.81700000000012</v>
      </c>
      <c r="O21" s="139">
        <v>2.649999999999995</v>
      </c>
      <c r="P21" s="139">
        <v>0</v>
      </c>
      <c r="Q21" s="139">
        <v>0</v>
      </c>
      <c r="R21" s="139">
        <v>0</v>
      </c>
      <c r="S21" s="139">
        <v>16.239999999999998</v>
      </c>
      <c r="T21" s="139">
        <v>2.649999999999995</v>
      </c>
      <c r="U21" s="139">
        <v>475.66700000000009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22.430000000000021</v>
      </c>
      <c r="D22" s="139">
        <v>0</v>
      </c>
      <c r="E22" s="139">
        <v>0</v>
      </c>
      <c r="F22" s="139">
        <v>0</v>
      </c>
      <c r="G22" s="139">
        <v>0</v>
      </c>
      <c r="H22" s="139">
        <v>22.430000000000021</v>
      </c>
      <c r="I22" s="139">
        <v>701.74</v>
      </c>
      <c r="J22" s="139">
        <v>0.6</v>
      </c>
      <c r="K22" s="139">
        <v>4.12</v>
      </c>
      <c r="L22" s="139">
        <v>0</v>
      </c>
      <c r="M22" s="139">
        <v>0</v>
      </c>
      <c r="N22" s="139">
        <v>702.34</v>
      </c>
      <c r="O22" s="139">
        <v>0.60000000000000098</v>
      </c>
      <c r="P22" s="139">
        <v>0</v>
      </c>
      <c r="Q22" s="139">
        <v>0</v>
      </c>
      <c r="R22" s="139">
        <v>0</v>
      </c>
      <c r="S22" s="139">
        <v>0</v>
      </c>
      <c r="T22" s="139">
        <v>0.60000000000000098</v>
      </c>
      <c r="U22" s="139">
        <v>725.37000000000012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436.16999999999996</v>
      </c>
      <c r="D23" s="139">
        <v>0</v>
      </c>
      <c r="E23" s="139">
        <v>36.53</v>
      </c>
      <c r="F23" s="139">
        <v>0</v>
      </c>
      <c r="G23" s="139">
        <v>31</v>
      </c>
      <c r="H23" s="139">
        <v>436.16999999999996</v>
      </c>
      <c r="I23" s="139">
        <v>147.07499999999996</v>
      </c>
      <c r="J23" s="139">
        <v>1.44</v>
      </c>
      <c r="K23" s="139">
        <v>8.9600000000000009</v>
      </c>
      <c r="L23" s="139">
        <v>0</v>
      </c>
      <c r="M23" s="139">
        <v>0</v>
      </c>
      <c r="N23" s="139">
        <v>148.51499999999996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607.18499999999995</v>
      </c>
    </row>
    <row r="24" spans="1:21" s="111" customFormat="1" ht="38.25" customHeight="1" x14ac:dyDescent="0.4">
      <c r="A24" s="240" t="s">
        <v>94</v>
      </c>
      <c r="B24" s="240"/>
      <c r="C24" s="139">
        <v>1067.23</v>
      </c>
      <c r="D24" s="141">
        <v>0</v>
      </c>
      <c r="E24" s="141">
        <v>36.53</v>
      </c>
      <c r="F24" s="141">
        <v>0</v>
      </c>
      <c r="G24" s="141">
        <v>31.87</v>
      </c>
      <c r="H24" s="141">
        <v>1067.23</v>
      </c>
      <c r="I24" s="139">
        <v>2092.4700000000003</v>
      </c>
      <c r="J24" s="141">
        <v>4.68</v>
      </c>
      <c r="K24" s="141">
        <v>49.58</v>
      </c>
      <c r="L24" s="141">
        <v>0</v>
      </c>
      <c r="M24" s="141">
        <v>0.04</v>
      </c>
      <c r="N24" s="141">
        <v>2097.15</v>
      </c>
      <c r="O24" s="139">
        <v>63.330000000000005</v>
      </c>
      <c r="P24" s="141">
        <v>0</v>
      </c>
      <c r="Q24" s="141">
        <v>0</v>
      </c>
      <c r="R24" s="141">
        <v>0</v>
      </c>
      <c r="S24" s="141">
        <v>16.239999999999998</v>
      </c>
      <c r="T24" s="141">
        <v>63.330000000000005</v>
      </c>
      <c r="U24" s="141">
        <v>3227.71</v>
      </c>
    </row>
    <row r="25" spans="1:21" s="145" customFormat="1" ht="38.25" customHeight="1" x14ac:dyDescent="0.4">
      <c r="A25" s="241" t="s">
        <v>95</v>
      </c>
      <c r="B25" s="242"/>
      <c r="C25" s="139">
        <v>3953.6659999999997</v>
      </c>
      <c r="D25" s="141">
        <v>2.1399999999999997</v>
      </c>
      <c r="E25" s="141">
        <v>50.11</v>
      </c>
      <c r="F25" s="141">
        <v>0</v>
      </c>
      <c r="G25" s="141">
        <v>39.160000000000004</v>
      </c>
      <c r="H25" s="141">
        <v>3955.8059999999996</v>
      </c>
      <c r="I25" s="139">
        <v>9226.5329999999994</v>
      </c>
      <c r="J25" s="141">
        <v>26.814999999999998</v>
      </c>
      <c r="K25" s="141">
        <v>316.52800000000002</v>
      </c>
      <c r="L25" s="141">
        <v>1.03</v>
      </c>
      <c r="M25" s="141">
        <v>1.5</v>
      </c>
      <c r="N25" s="141">
        <v>9252.3180000000011</v>
      </c>
      <c r="O25" s="139">
        <v>465.37800000000004</v>
      </c>
      <c r="P25" s="141">
        <v>0</v>
      </c>
      <c r="Q25" s="141">
        <v>1.41</v>
      </c>
      <c r="R25" s="141">
        <v>0</v>
      </c>
      <c r="S25" s="141">
        <v>82.039999999999992</v>
      </c>
      <c r="T25" s="141">
        <v>465.37800000000004</v>
      </c>
      <c r="U25" s="141">
        <v>13673.501999999999</v>
      </c>
    </row>
    <row r="26" spans="1:21" ht="38.25" customHeight="1" x14ac:dyDescent="0.35">
      <c r="A26" s="171">
        <v>15</v>
      </c>
      <c r="B26" s="172" t="s">
        <v>96</v>
      </c>
      <c r="C26" s="139">
        <v>1665.0900000000001</v>
      </c>
      <c r="D26" s="139">
        <v>7.64</v>
      </c>
      <c r="E26" s="139">
        <v>44.44</v>
      </c>
      <c r="F26" s="139">
        <v>0</v>
      </c>
      <c r="G26" s="139">
        <v>0</v>
      </c>
      <c r="H26" s="139">
        <v>1672.7300000000002</v>
      </c>
      <c r="I26" s="139">
        <v>122.92</v>
      </c>
      <c r="J26" s="139">
        <v>0.28999999999999998</v>
      </c>
      <c r="K26" s="139">
        <v>1.6600000000000001</v>
      </c>
      <c r="L26" s="139">
        <v>0</v>
      </c>
      <c r="M26" s="139">
        <v>0</v>
      </c>
      <c r="N26" s="139">
        <v>123.21000000000001</v>
      </c>
      <c r="O26" s="139">
        <v>16.489999999999998</v>
      </c>
      <c r="P26" s="139">
        <v>0</v>
      </c>
      <c r="Q26" s="139">
        <v>0.12</v>
      </c>
      <c r="R26" s="139">
        <v>0</v>
      </c>
      <c r="S26" s="139">
        <v>0</v>
      </c>
      <c r="T26" s="139">
        <v>16.489999999999998</v>
      </c>
      <c r="U26" s="139">
        <v>1812.4300000000003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5733.1050000000041</v>
      </c>
      <c r="D27" s="139">
        <v>6.12</v>
      </c>
      <c r="E27" s="139">
        <v>53.870000000000005</v>
      </c>
      <c r="F27" s="139">
        <v>0</v>
      </c>
      <c r="G27" s="139">
        <v>0.02</v>
      </c>
      <c r="H27" s="139">
        <v>5739.225000000004</v>
      </c>
      <c r="I27" s="139">
        <v>647.70799999999986</v>
      </c>
      <c r="J27" s="139">
        <v>2</v>
      </c>
      <c r="K27" s="139">
        <v>15.549999999999999</v>
      </c>
      <c r="L27" s="139">
        <v>0</v>
      </c>
      <c r="M27" s="139">
        <v>0.02</v>
      </c>
      <c r="N27" s="139">
        <v>649.70799999999986</v>
      </c>
      <c r="O27" s="139">
        <v>34.630000000000003</v>
      </c>
      <c r="P27" s="139">
        <v>0</v>
      </c>
      <c r="Q27" s="139">
        <v>0.83000000000000007</v>
      </c>
      <c r="R27" s="139">
        <v>0</v>
      </c>
      <c r="S27" s="139">
        <v>0</v>
      </c>
      <c r="T27" s="139">
        <v>34.630000000000003</v>
      </c>
      <c r="U27" s="139">
        <v>6423.5630000000037</v>
      </c>
    </row>
    <row r="28" spans="1:21" s="111" customFormat="1" ht="38.25" customHeight="1" x14ac:dyDescent="0.4">
      <c r="A28" s="240" t="s">
        <v>98</v>
      </c>
      <c r="B28" s="240"/>
      <c r="C28" s="139">
        <v>7398.1950000000043</v>
      </c>
      <c r="D28" s="141">
        <v>13.76</v>
      </c>
      <c r="E28" s="141">
        <v>98.31</v>
      </c>
      <c r="F28" s="141">
        <v>0</v>
      </c>
      <c r="G28" s="141">
        <v>0.02</v>
      </c>
      <c r="H28" s="141">
        <v>7411.9550000000045</v>
      </c>
      <c r="I28" s="139">
        <v>770.62799999999982</v>
      </c>
      <c r="J28" s="141">
        <v>2.29</v>
      </c>
      <c r="K28" s="141">
        <v>17.21</v>
      </c>
      <c r="L28" s="141">
        <v>0</v>
      </c>
      <c r="M28" s="141">
        <v>0.02</v>
      </c>
      <c r="N28" s="141">
        <v>772.91799999999989</v>
      </c>
      <c r="O28" s="139">
        <v>51.120000000000005</v>
      </c>
      <c r="P28" s="141">
        <v>0</v>
      </c>
      <c r="Q28" s="141">
        <v>0.95000000000000007</v>
      </c>
      <c r="R28" s="141">
        <v>0</v>
      </c>
      <c r="S28" s="141">
        <v>0</v>
      </c>
      <c r="T28" s="141">
        <v>51.120000000000005</v>
      </c>
      <c r="U28" s="141">
        <v>8235.993000000004</v>
      </c>
    </row>
    <row r="29" spans="1:21" ht="38.25" customHeight="1" x14ac:dyDescent="0.35">
      <c r="A29" s="171">
        <v>17</v>
      </c>
      <c r="B29" s="172" t="s">
        <v>99</v>
      </c>
      <c r="C29" s="139">
        <v>5020.8080000000009</v>
      </c>
      <c r="D29" s="139">
        <v>0.32200000000000001</v>
      </c>
      <c r="E29" s="139">
        <v>140.09200000000001</v>
      </c>
      <c r="F29" s="139">
        <v>0</v>
      </c>
      <c r="G29" s="139">
        <v>0</v>
      </c>
      <c r="H29" s="139">
        <v>5021.130000000001</v>
      </c>
      <c r="I29" s="139">
        <v>123.54000000000002</v>
      </c>
      <c r="J29" s="139">
        <v>7.0000000000000007E-2</v>
      </c>
      <c r="K29" s="139">
        <v>2.0799999999999996</v>
      </c>
      <c r="L29" s="139">
        <v>0</v>
      </c>
      <c r="M29" s="139">
        <v>0</v>
      </c>
      <c r="N29" s="139">
        <v>123.61000000000001</v>
      </c>
      <c r="O29" s="139">
        <v>34.52000000000001</v>
      </c>
      <c r="P29" s="139">
        <v>0</v>
      </c>
      <c r="Q29" s="139">
        <v>0</v>
      </c>
      <c r="R29" s="139">
        <v>0</v>
      </c>
      <c r="S29" s="139">
        <v>0</v>
      </c>
      <c r="T29" s="139">
        <v>34.52000000000001</v>
      </c>
      <c r="U29" s="139">
        <v>5179.2600000000011</v>
      </c>
    </row>
    <row r="30" spans="1:21" ht="38.25" customHeight="1" x14ac:dyDescent="0.35">
      <c r="A30" s="171">
        <v>18</v>
      </c>
      <c r="B30" s="172" t="s">
        <v>100</v>
      </c>
      <c r="C30" s="139">
        <v>3749.3799999999992</v>
      </c>
      <c r="D30" s="139">
        <v>7.915</v>
      </c>
      <c r="E30" s="139">
        <v>55.145000000000003</v>
      </c>
      <c r="F30" s="139">
        <v>0</v>
      </c>
      <c r="G30" s="139">
        <v>0</v>
      </c>
      <c r="H30" s="139">
        <v>3757.2949999999992</v>
      </c>
      <c r="I30" s="139">
        <v>232.36699999999999</v>
      </c>
      <c r="J30" s="139">
        <v>0</v>
      </c>
      <c r="K30" s="139">
        <v>33.78</v>
      </c>
      <c r="L30" s="139">
        <v>0</v>
      </c>
      <c r="M30" s="139">
        <v>0</v>
      </c>
      <c r="N30" s="139">
        <v>232.36699999999999</v>
      </c>
      <c r="O30" s="139">
        <v>23.25</v>
      </c>
      <c r="P30" s="139">
        <v>0</v>
      </c>
      <c r="Q30" s="139">
        <v>0</v>
      </c>
      <c r="R30" s="139">
        <v>0</v>
      </c>
      <c r="S30" s="139">
        <v>0</v>
      </c>
      <c r="T30" s="139">
        <v>23.25</v>
      </c>
      <c r="U30" s="139">
        <v>4012.9119999999994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4714.8320000000012</v>
      </c>
      <c r="D31" s="139">
        <v>3.54</v>
      </c>
      <c r="E31" s="139">
        <v>15.879999999999999</v>
      </c>
      <c r="F31" s="139">
        <v>0</v>
      </c>
      <c r="G31" s="139">
        <v>0</v>
      </c>
      <c r="H31" s="139">
        <v>4718.3720000000012</v>
      </c>
      <c r="I31" s="139">
        <v>107.89500000000002</v>
      </c>
      <c r="J31" s="139">
        <v>0</v>
      </c>
      <c r="K31" s="139">
        <v>0.20499999999999999</v>
      </c>
      <c r="L31" s="139">
        <v>0</v>
      </c>
      <c r="M31" s="139">
        <v>0</v>
      </c>
      <c r="N31" s="139">
        <v>107.89500000000002</v>
      </c>
      <c r="O31" s="139">
        <v>14.850000000000001</v>
      </c>
      <c r="P31" s="139">
        <v>0</v>
      </c>
      <c r="Q31" s="139">
        <v>0</v>
      </c>
      <c r="R31" s="139">
        <v>0</v>
      </c>
      <c r="S31" s="139">
        <v>0</v>
      </c>
      <c r="T31" s="139">
        <v>14.850000000000001</v>
      </c>
      <c r="U31" s="139">
        <v>4841.117000000002</v>
      </c>
    </row>
    <row r="32" spans="1:21" ht="38.25" customHeight="1" x14ac:dyDescent="0.35">
      <c r="A32" s="171">
        <v>20</v>
      </c>
      <c r="B32" s="172" t="s">
        <v>102</v>
      </c>
      <c r="C32" s="139">
        <v>2382.755799999999</v>
      </c>
      <c r="D32" s="139">
        <v>6.43</v>
      </c>
      <c r="E32" s="139">
        <v>24.89</v>
      </c>
      <c r="F32" s="139">
        <v>0</v>
      </c>
      <c r="G32" s="139">
        <v>9.73</v>
      </c>
      <c r="H32" s="139">
        <v>2389.1857999999988</v>
      </c>
      <c r="I32" s="139">
        <v>110.27400000000003</v>
      </c>
      <c r="J32" s="139">
        <v>1.79</v>
      </c>
      <c r="K32" s="139">
        <v>18.887999999999998</v>
      </c>
      <c r="L32" s="139">
        <v>0</v>
      </c>
      <c r="M32" s="139">
        <v>0</v>
      </c>
      <c r="N32" s="139">
        <v>112.06400000000004</v>
      </c>
      <c r="O32" s="139">
        <v>67.551999999999992</v>
      </c>
      <c r="P32" s="139">
        <v>0</v>
      </c>
      <c r="Q32" s="139">
        <v>0</v>
      </c>
      <c r="R32" s="139">
        <v>0</v>
      </c>
      <c r="S32" s="139">
        <v>0</v>
      </c>
      <c r="T32" s="139">
        <v>67.551999999999992</v>
      </c>
      <c r="U32" s="139">
        <v>2568.8017999999988</v>
      </c>
    </row>
    <row r="33" spans="1:21" s="111" customFormat="1" ht="38.25" customHeight="1" x14ac:dyDescent="0.4">
      <c r="A33" s="240" t="s">
        <v>99</v>
      </c>
      <c r="B33" s="240"/>
      <c r="C33" s="139">
        <v>15867.775799999999</v>
      </c>
      <c r="D33" s="141">
        <v>18.207000000000001</v>
      </c>
      <c r="E33" s="141">
        <v>236.00700000000001</v>
      </c>
      <c r="F33" s="141">
        <v>0</v>
      </c>
      <c r="G33" s="141">
        <v>9.73</v>
      </c>
      <c r="H33" s="141">
        <v>15885.9828</v>
      </c>
      <c r="I33" s="139">
        <v>574.07600000000014</v>
      </c>
      <c r="J33" s="141">
        <v>1.86</v>
      </c>
      <c r="K33" s="141">
        <v>54.952999999999996</v>
      </c>
      <c r="L33" s="141">
        <v>0</v>
      </c>
      <c r="M33" s="141">
        <v>0</v>
      </c>
      <c r="N33" s="141">
        <v>575.93600000000004</v>
      </c>
      <c r="O33" s="139">
        <v>140.172</v>
      </c>
      <c r="P33" s="141">
        <v>0</v>
      </c>
      <c r="Q33" s="141">
        <v>0</v>
      </c>
      <c r="R33" s="141">
        <v>0</v>
      </c>
      <c r="S33" s="141">
        <v>0</v>
      </c>
      <c r="T33" s="141">
        <v>140.172</v>
      </c>
      <c r="U33" s="141">
        <v>16602.090800000002</v>
      </c>
    </row>
    <row r="34" spans="1:21" ht="38.25" customHeight="1" x14ac:dyDescent="0.35">
      <c r="A34" s="171">
        <v>21</v>
      </c>
      <c r="B34" s="172" t="s">
        <v>103</v>
      </c>
      <c r="C34" s="139">
        <v>4613.6399999999994</v>
      </c>
      <c r="D34" s="139">
        <v>3.08</v>
      </c>
      <c r="E34" s="139">
        <v>32.690000000000005</v>
      </c>
      <c r="F34" s="139">
        <v>0</v>
      </c>
      <c r="G34" s="139">
        <v>2.72</v>
      </c>
      <c r="H34" s="139">
        <v>4616.7199999999993</v>
      </c>
      <c r="I34" s="139">
        <v>116.16999999999999</v>
      </c>
      <c r="J34" s="139">
        <v>0</v>
      </c>
      <c r="K34" s="139">
        <v>8.09</v>
      </c>
      <c r="L34" s="139">
        <v>0</v>
      </c>
      <c r="M34" s="139">
        <v>0</v>
      </c>
      <c r="N34" s="139">
        <v>116.16999999999999</v>
      </c>
      <c r="O34" s="139">
        <v>72.7</v>
      </c>
      <c r="P34" s="139">
        <v>0</v>
      </c>
      <c r="Q34" s="139">
        <v>0</v>
      </c>
      <c r="R34" s="139">
        <v>0</v>
      </c>
      <c r="S34" s="139">
        <v>0</v>
      </c>
      <c r="T34" s="139">
        <v>72.7</v>
      </c>
      <c r="U34" s="139">
        <v>4805.5899999999992</v>
      </c>
    </row>
    <row r="35" spans="1:21" ht="38.25" customHeight="1" x14ac:dyDescent="0.35">
      <c r="A35" s="171">
        <v>22</v>
      </c>
      <c r="B35" s="172" t="s">
        <v>104</v>
      </c>
      <c r="C35" s="139">
        <v>6815.4999999999973</v>
      </c>
      <c r="D35" s="139">
        <v>18.41</v>
      </c>
      <c r="E35" s="139">
        <v>150.29</v>
      </c>
      <c r="F35" s="139">
        <v>0</v>
      </c>
      <c r="G35" s="139">
        <v>0</v>
      </c>
      <c r="H35" s="139">
        <v>6833.9099999999971</v>
      </c>
      <c r="I35" s="139">
        <v>34.17</v>
      </c>
      <c r="J35" s="139">
        <v>81.92</v>
      </c>
      <c r="K35" s="139">
        <v>81.960000000000008</v>
      </c>
      <c r="L35" s="139">
        <v>0</v>
      </c>
      <c r="M35" s="139">
        <v>0</v>
      </c>
      <c r="N35" s="139">
        <v>116.09</v>
      </c>
      <c r="O35" s="139">
        <v>90.800000000000011</v>
      </c>
      <c r="P35" s="139">
        <v>0</v>
      </c>
      <c r="Q35" s="139">
        <v>0</v>
      </c>
      <c r="R35" s="139">
        <v>0</v>
      </c>
      <c r="S35" s="139">
        <v>0</v>
      </c>
      <c r="T35" s="139">
        <v>90.800000000000011</v>
      </c>
      <c r="U35" s="139">
        <v>7040.7999999999975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3863.4300000000003</v>
      </c>
      <c r="D36" s="139">
        <v>8.52</v>
      </c>
      <c r="E36" s="139">
        <v>174.29</v>
      </c>
      <c r="F36" s="139">
        <v>0</v>
      </c>
      <c r="G36" s="139">
        <v>0</v>
      </c>
      <c r="H36" s="139">
        <v>3871.9500000000003</v>
      </c>
      <c r="I36" s="139">
        <v>31.070000000000039</v>
      </c>
      <c r="J36" s="139">
        <v>0</v>
      </c>
      <c r="K36" s="139">
        <v>0.82000000000000006</v>
      </c>
      <c r="L36" s="139">
        <v>0</v>
      </c>
      <c r="M36" s="139">
        <v>0</v>
      </c>
      <c r="N36" s="139">
        <v>31.070000000000039</v>
      </c>
      <c r="O36" s="139">
        <v>36.379999999999995</v>
      </c>
      <c r="P36" s="139">
        <v>0</v>
      </c>
      <c r="Q36" s="139">
        <v>0</v>
      </c>
      <c r="R36" s="139">
        <v>0</v>
      </c>
      <c r="S36" s="139">
        <v>0</v>
      </c>
      <c r="T36" s="139">
        <v>36.379999999999995</v>
      </c>
      <c r="U36" s="139">
        <v>3939.4000000000005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5197.7399999999989</v>
      </c>
      <c r="D37" s="139">
        <v>2.2599999999999998</v>
      </c>
      <c r="E37" s="139">
        <v>105.49000000000001</v>
      </c>
      <c r="F37" s="139">
        <v>0</v>
      </c>
      <c r="G37" s="139">
        <v>0</v>
      </c>
      <c r="H37" s="139">
        <v>5199.9999999999991</v>
      </c>
      <c r="I37" s="139">
        <v>26.700000000000003</v>
      </c>
      <c r="J37" s="139">
        <v>0</v>
      </c>
      <c r="K37" s="139">
        <v>0</v>
      </c>
      <c r="L37" s="139">
        <v>0</v>
      </c>
      <c r="M37" s="139">
        <v>0</v>
      </c>
      <c r="N37" s="139">
        <v>26.700000000000003</v>
      </c>
      <c r="O37" s="139">
        <v>3.0599999999999996</v>
      </c>
      <c r="P37" s="139">
        <v>0</v>
      </c>
      <c r="Q37" s="139">
        <v>0</v>
      </c>
      <c r="R37" s="139">
        <v>0</v>
      </c>
      <c r="S37" s="139">
        <v>0</v>
      </c>
      <c r="T37" s="139">
        <v>3.0599999999999996</v>
      </c>
      <c r="U37" s="139">
        <v>5229.7599999999993</v>
      </c>
    </row>
    <row r="38" spans="1:21" s="111" customFormat="1" ht="38.25" customHeight="1" x14ac:dyDescent="0.4">
      <c r="A38" s="240" t="s">
        <v>107</v>
      </c>
      <c r="B38" s="240"/>
      <c r="C38" s="139">
        <v>20490.309999999994</v>
      </c>
      <c r="D38" s="141">
        <v>32.270000000000003</v>
      </c>
      <c r="E38" s="141">
        <v>462.76</v>
      </c>
      <c r="F38" s="141">
        <v>0</v>
      </c>
      <c r="G38" s="141">
        <v>2.72</v>
      </c>
      <c r="H38" s="141">
        <v>20522.579999999998</v>
      </c>
      <c r="I38" s="139">
        <v>208.11</v>
      </c>
      <c r="J38" s="141">
        <v>81.92</v>
      </c>
      <c r="K38" s="141">
        <v>90.87</v>
      </c>
      <c r="L38" s="141">
        <v>0</v>
      </c>
      <c r="M38" s="141">
        <v>0</v>
      </c>
      <c r="N38" s="141">
        <v>290.03000000000003</v>
      </c>
      <c r="O38" s="139">
        <v>202.94</v>
      </c>
      <c r="P38" s="141">
        <v>0</v>
      </c>
      <c r="Q38" s="141">
        <v>0</v>
      </c>
      <c r="R38" s="141">
        <v>0</v>
      </c>
      <c r="S38" s="141">
        <v>0</v>
      </c>
      <c r="T38" s="141">
        <v>202.94</v>
      </c>
      <c r="U38" s="141">
        <v>21015.549999999996</v>
      </c>
    </row>
    <row r="39" spans="1:21" s="145" customFormat="1" ht="38.25" customHeight="1" x14ac:dyDescent="0.4">
      <c r="A39" s="243" t="s">
        <v>108</v>
      </c>
      <c r="B39" s="243"/>
      <c r="C39" s="139">
        <v>43756.2808</v>
      </c>
      <c r="D39" s="141">
        <v>64.237000000000009</v>
      </c>
      <c r="E39" s="141">
        <v>797.077</v>
      </c>
      <c r="F39" s="141">
        <v>0</v>
      </c>
      <c r="G39" s="141">
        <v>12.47</v>
      </c>
      <c r="H39" s="141">
        <v>43820.517800000001</v>
      </c>
      <c r="I39" s="139">
        <v>1552.8139999999999</v>
      </c>
      <c r="J39" s="141">
        <v>86.070000000000007</v>
      </c>
      <c r="K39" s="141">
        <v>163.03300000000002</v>
      </c>
      <c r="L39" s="141">
        <v>0</v>
      </c>
      <c r="M39" s="141">
        <v>0.02</v>
      </c>
      <c r="N39" s="141">
        <v>1638.884</v>
      </c>
      <c r="O39" s="139">
        <v>394.23199999999997</v>
      </c>
      <c r="P39" s="141">
        <v>0</v>
      </c>
      <c r="Q39" s="141">
        <v>0.95000000000000007</v>
      </c>
      <c r="R39" s="141">
        <v>0</v>
      </c>
      <c r="S39" s="141">
        <v>0</v>
      </c>
      <c r="T39" s="141">
        <v>394.23199999999997</v>
      </c>
      <c r="U39" s="141">
        <v>45853.633799999996</v>
      </c>
    </row>
    <row r="40" spans="1:21" ht="38.25" customHeight="1" x14ac:dyDescent="0.35">
      <c r="A40" s="171">
        <v>25</v>
      </c>
      <c r="B40" s="172" t="s">
        <v>109</v>
      </c>
      <c r="C40" s="139">
        <v>11933.893999999998</v>
      </c>
      <c r="D40" s="139">
        <v>6.46</v>
      </c>
      <c r="E40" s="139">
        <v>82.72999999999999</v>
      </c>
      <c r="F40" s="139">
        <v>0</v>
      </c>
      <c r="G40" s="139">
        <v>0</v>
      </c>
      <c r="H40" s="139">
        <v>11940.353999999998</v>
      </c>
      <c r="I40" s="139">
        <v>198.73</v>
      </c>
      <c r="J40" s="139">
        <v>0</v>
      </c>
      <c r="K40" s="139">
        <v>0</v>
      </c>
      <c r="L40" s="139">
        <v>0</v>
      </c>
      <c r="M40" s="139">
        <v>0</v>
      </c>
      <c r="N40" s="139">
        <v>198.73</v>
      </c>
      <c r="O40" s="139">
        <v>106.93</v>
      </c>
      <c r="P40" s="139">
        <v>0</v>
      </c>
      <c r="Q40" s="139">
        <v>0</v>
      </c>
      <c r="R40" s="139">
        <v>0</v>
      </c>
      <c r="S40" s="139">
        <v>0</v>
      </c>
      <c r="T40" s="139">
        <v>106.93</v>
      </c>
      <c r="U40" s="139">
        <v>12246.013999999997</v>
      </c>
    </row>
    <row r="41" spans="1:21" ht="38.25" customHeight="1" x14ac:dyDescent="0.35">
      <c r="A41" s="171">
        <v>26</v>
      </c>
      <c r="B41" s="172" t="s">
        <v>110</v>
      </c>
      <c r="C41" s="139">
        <v>8579.9789999999957</v>
      </c>
      <c r="D41" s="139">
        <v>1.41</v>
      </c>
      <c r="E41" s="139">
        <v>133.99</v>
      </c>
      <c r="F41" s="139">
        <v>0</v>
      </c>
      <c r="G41" s="139">
        <v>0</v>
      </c>
      <c r="H41" s="139">
        <v>8581.3889999999956</v>
      </c>
      <c r="I41" s="139">
        <v>8.67</v>
      </c>
      <c r="J41" s="139">
        <v>0</v>
      </c>
      <c r="K41" s="139">
        <v>0</v>
      </c>
      <c r="L41" s="139">
        <v>0</v>
      </c>
      <c r="M41" s="139">
        <v>0</v>
      </c>
      <c r="N41" s="139">
        <v>8.67</v>
      </c>
      <c r="O41" s="139">
        <v>141.29000000000002</v>
      </c>
      <c r="P41" s="139">
        <v>0</v>
      </c>
      <c r="Q41" s="139">
        <v>0</v>
      </c>
      <c r="R41" s="139">
        <v>0</v>
      </c>
      <c r="S41" s="139">
        <v>0</v>
      </c>
      <c r="T41" s="139">
        <v>141.29000000000002</v>
      </c>
      <c r="U41" s="139">
        <v>8731.3489999999965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14087.457999999997</v>
      </c>
      <c r="D42" s="139">
        <v>15.343999999999999</v>
      </c>
      <c r="E42" s="139">
        <v>149.12900000000002</v>
      </c>
      <c r="F42" s="139">
        <v>0</v>
      </c>
      <c r="G42" s="139">
        <v>0</v>
      </c>
      <c r="H42" s="139">
        <v>14102.801999999996</v>
      </c>
      <c r="I42" s="139">
        <v>15.62</v>
      </c>
      <c r="J42" s="139">
        <v>0</v>
      </c>
      <c r="K42" s="139">
        <v>0</v>
      </c>
      <c r="L42" s="139">
        <v>0</v>
      </c>
      <c r="M42" s="139">
        <v>0</v>
      </c>
      <c r="N42" s="139">
        <v>15.62</v>
      </c>
      <c r="O42" s="139">
        <v>205.35</v>
      </c>
      <c r="P42" s="139">
        <v>0</v>
      </c>
      <c r="Q42" s="139">
        <v>0</v>
      </c>
      <c r="R42" s="139">
        <v>0</v>
      </c>
      <c r="S42" s="139">
        <v>0</v>
      </c>
      <c r="T42" s="139">
        <v>205.35</v>
      </c>
      <c r="U42" s="139">
        <v>14323.771999999997</v>
      </c>
    </row>
    <row r="43" spans="1:21" ht="38.25" customHeight="1" x14ac:dyDescent="0.35">
      <c r="A43" s="171">
        <v>28</v>
      </c>
      <c r="B43" s="172" t="s">
        <v>112</v>
      </c>
      <c r="C43" s="139">
        <v>4350.2600000000011</v>
      </c>
      <c r="D43" s="139">
        <v>2.75</v>
      </c>
      <c r="E43" s="139">
        <v>151.04999999999998</v>
      </c>
      <c r="F43" s="139">
        <v>0</v>
      </c>
      <c r="G43" s="139">
        <v>0</v>
      </c>
      <c r="H43" s="139">
        <v>4353.0100000000011</v>
      </c>
      <c r="I43" s="139">
        <v>3.5</v>
      </c>
      <c r="J43" s="139">
        <v>0</v>
      </c>
      <c r="K43" s="139">
        <v>0</v>
      </c>
      <c r="L43" s="139">
        <v>0</v>
      </c>
      <c r="M43" s="139">
        <v>0</v>
      </c>
      <c r="N43" s="139">
        <v>3.5</v>
      </c>
      <c r="O43" s="139">
        <v>29.8</v>
      </c>
      <c r="P43" s="139">
        <v>0</v>
      </c>
      <c r="Q43" s="139">
        <v>0</v>
      </c>
      <c r="R43" s="139">
        <v>0</v>
      </c>
      <c r="S43" s="139">
        <v>0</v>
      </c>
      <c r="T43" s="139">
        <v>29.8</v>
      </c>
      <c r="U43" s="139">
        <v>4386.3100000000013</v>
      </c>
    </row>
    <row r="44" spans="1:21" s="111" customFormat="1" ht="38.25" customHeight="1" x14ac:dyDescent="0.4">
      <c r="A44" s="240" t="s">
        <v>109</v>
      </c>
      <c r="B44" s="240"/>
      <c r="C44" s="139">
        <v>38951.590999999993</v>
      </c>
      <c r="D44" s="141">
        <v>25.963999999999999</v>
      </c>
      <c r="E44" s="141">
        <v>516.899</v>
      </c>
      <c r="F44" s="141">
        <v>0</v>
      </c>
      <c r="G44" s="141">
        <v>0</v>
      </c>
      <c r="H44" s="141">
        <v>38977.554999999993</v>
      </c>
      <c r="I44" s="139">
        <v>226.51999999999998</v>
      </c>
      <c r="J44" s="141">
        <v>0</v>
      </c>
      <c r="K44" s="141">
        <v>0</v>
      </c>
      <c r="L44" s="141">
        <v>0</v>
      </c>
      <c r="M44" s="141">
        <v>0</v>
      </c>
      <c r="N44" s="141">
        <v>226.51999999999998</v>
      </c>
      <c r="O44" s="139">
        <v>483.37000000000006</v>
      </c>
      <c r="P44" s="141">
        <v>0</v>
      </c>
      <c r="Q44" s="141">
        <v>0</v>
      </c>
      <c r="R44" s="141">
        <v>0</v>
      </c>
      <c r="S44" s="141">
        <v>0</v>
      </c>
      <c r="T44" s="141">
        <v>483.37000000000006</v>
      </c>
      <c r="U44" s="141">
        <v>39687.444999999992</v>
      </c>
    </row>
    <row r="45" spans="1:21" ht="38.25" customHeight="1" x14ac:dyDescent="0.35">
      <c r="A45" s="171">
        <v>29</v>
      </c>
      <c r="B45" s="172" t="s">
        <v>113</v>
      </c>
      <c r="C45" s="139">
        <v>8480.7520999999979</v>
      </c>
      <c r="D45" s="139">
        <v>9.59</v>
      </c>
      <c r="E45" s="139">
        <v>126.53</v>
      </c>
      <c r="F45" s="139">
        <v>0</v>
      </c>
      <c r="G45" s="139">
        <v>0</v>
      </c>
      <c r="H45" s="139">
        <v>8490.342099999998</v>
      </c>
      <c r="I45" s="139">
        <v>261.55999999999995</v>
      </c>
      <c r="J45" s="139">
        <v>0.12</v>
      </c>
      <c r="K45" s="139">
        <v>0.63</v>
      </c>
      <c r="L45" s="139">
        <v>0</v>
      </c>
      <c r="M45" s="139">
        <v>0</v>
      </c>
      <c r="N45" s="139">
        <v>261.67999999999995</v>
      </c>
      <c r="O45" s="139">
        <v>84.53</v>
      </c>
      <c r="P45" s="139">
        <v>0</v>
      </c>
      <c r="Q45" s="139">
        <v>0.14000000000000001</v>
      </c>
      <c r="R45" s="139">
        <v>0</v>
      </c>
      <c r="S45" s="139">
        <v>0</v>
      </c>
      <c r="T45" s="139">
        <v>84.53</v>
      </c>
      <c r="U45" s="139">
        <v>8836.552099999999</v>
      </c>
    </row>
    <row r="46" spans="1:21" ht="38.25" customHeight="1" x14ac:dyDescent="0.35">
      <c r="A46" s="171">
        <v>30</v>
      </c>
      <c r="B46" s="172" t="s">
        <v>114</v>
      </c>
      <c r="C46" s="139">
        <v>8124.0550000000012</v>
      </c>
      <c r="D46" s="139">
        <v>15.84</v>
      </c>
      <c r="E46" s="139">
        <v>192.66</v>
      </c>
      <c r="F46" s="139">
        <v>0</v>
      </c>
      <c r="G46" s="139">
        <v>0</v>
      </c>
      <c r="H46" s="139">
        <v>8139.8950000000013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47.03</v>
      </c>
      <c r="P46" s="139">
        <v>5.5</v>
      </c>
      <c r="Q46" s="139">
        <v>5.5</v>
      </c>
      <c r="R46" s="139">
        <v>0</v>
      </c>
      <c r="S46" s="139">
        <v>0</v>
      </c>
      <c r="T46" s="139">
        <v>52.53</v>
      </c>
      <c r="U46" s="139">
        <v>8192.4250000000011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9369.1699999999946</v>
      </c>
      <c r="D47" s="139">
        <v>12.43</v>
      </c>
      <c r="E47" s="139">
        <v>303.89999999999992</v>
      </c>
      <c r="F47" s="139">
        <v>0</v>
      </c>
      <c r="G47" s="139">
        <v>0</v>
      </c>
      <c r="H47" s="139">
        <v>9381.5999999999949</v>
      </c>
      <c r="I47" s="139">
        <v>3.13</v>
      </c>
      <c r="J47" s="139">
        <v>0</v>
      </c>
      <c r="K47" s="139">
        <v>0</v>
      </c>
      <c r="L47" s="139">
        <v>0</v>
      </c>
      <c r="M47" s="139">
        <v>0</v>
      </c>
      <c r="N47" s="139">
        <v>3.13</v>
      </c>
      <c r="O47" s="139">
        <v>118.94999999999999</v>
      </c>
      <c r="P47" s="139">
        <v>0</v>
      </c>
      <c r="Q47" s="139">
        <v>0</v>
      </c>
      <c r="R47" s="139">
        <v>0</v>
      </c>
      <c r="S47" s="139">
        <v>0</v>
      </c>
      <c r="T47" s="139">
        <v>118.94999999999999</v>
      </c>
      <c r="U47" s="139">
        <v>9503.6799999999948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8657.3689999999988</v>
      </c>
      <c r="D48" s="139">
        <v>1.65</v>
      </c>
      <c r="E48" s="139">
        <v>53.07</v>
      </c>
      <c r="F48" s="139">
        <v>0</v>
      </c>
      <c r="G48" s="139">
        <v>0</v>
      </c>
      <c r="H48" s="139">
        <v>8659.0189999999984</v>
      </c>
      <c r="I48" s="139">
        <v>5.0249999999999995</v>
      </c>
      <c r="J48" s="139">
        <v>0</v>
      </c>
      <c r="K48" s="139">
        <v>0</v>
      </c>
      <c r="L48" s="139">
        <v>0</v>
      </c>
      <c r="M48" s="139">
        <v>0</v>
      </c>
      <c r="N48" s="139">
        <v>5.0249999999999995</v>
      </c>
      <c r="O48" s="139">
        <v>4.21</v>
      </c>
      <c r="P48" s="139">
        <v>0</v>
      </c>
      <c r="Q48" s="139">
        <v>0</v>
      </c>
      <c r="R48" s="139">
        <v>0</v>
      </c>
      <c r="S48" s="139">
        <v>0</v>
      </c>
      <c r="T48" s="139">
        <v>4.21</v>
      </c>
      <c r="U48" s="139">
        <v>8668.2539999999972</v>
      </c>
    </row>
    <row r="49" spans="1:21" s="111" customFormat="1" ht="38.25" customHeight="1" x14ac:dyDescent="0.4">
      <c r="A49" s="240" t="s">
        <v>117</v>
      </c>
      <c r="B49" s="240"/>
      <c r="C49" s="139">
        <v>34631.346099999995</v>
      </c>
      <c r="D49" s="141">
        <v>39.51</v>
      </c>
      <c r="E49" s="141">
        <v>676.16</v>
      </c>
      <c r="F49" s="141">
        <v>0</v>
      </c>
      <c r="G49" s="141">
        <v>0</v>
      </c>
      <c r="H49" s="141">
        <v>34670.85609999999</v>
      </c>
      <c r="I49" s="139">
        <v>269.71499999999992</v>
      </c>
      <c r="J49" s="141">
        <v>0.12</v>
      </c>
      <c r="K49" s="141">
        <v>0.63</v>
      </c>
      <c r="L49" s="141">
        <v>0</v>
      </c>
      <c r="M49" s="141">
        <v>0</v>
      </c>
      <c r="N49" s="141">
        <v>269.83499999999992</v>
      </c>
      <c r="O49" s="139">
        <v>254.72</v>
      </c>
      <c r="P49" s="141">
        <v>5.5</v>
      </c>
      <c r="Q49" s="141">
        <v>5.64</v>
      </c>
      <c r="R49" s="141">
        <v>0</v>
      </c>
      <c r="S49" s="141">
        <v>0</v>
      </c>
      <c r="T49" s="141">
        <v>260.21999999999997</v>
      </c>
      <c r="U49" s="141">
        <v>35200.911099999998</v>
      </c>
    </row>
    <row r="50" spans="1:21" s="145" customFormat="1" ht="38.25" customHeight="1" x14ac:dyDescent="0.4">
      <c r="A50" s="243" t="s">
        <v>118</v>
      </c>
      <c r="B50" s="243"/>
      <c r="C50" s="139">
        <v>73582.937099999981</v>
      </c>
      <c r="D50" s="141">
        <v>65.47399999999999</v>
      </c>
      <c r="E50" s="141">
        <v>1193.059</v>
      </c>
      <c r="F50" s="141">
        <v>0</v>
      </c>
      <c r="G50" s="141">
        <v>0</v>
      </c>
      <c r="H50" s="141">
        <v>73648.411099999983</v>
      </c>
      <c r="I50" s="139">
        <v>496.2349999999999</v>
      </c>
      <c r="J50" s="141">
        <v>0.12</v>
      </c>
      <c r="K50" s="141">
        <v>0.63</v>
      </c>
      <c r="L50" s="141">
        <v>0</v>
      </c>
      <c r="M50" s="141">
        <v>0</v>
      </c>
      <c r="N50" s="141">
        <v>496.3549999999999</v>
      </c>
      <c r="O50" s="139">
        <v>738.09</v>
      </c>
      <c r="P50" s="141">
        <v>5.5</v>
      </c>
      <c r="Q50" s="141">
        <v>5.64</v>
      </c>
      <c r="R50" s="141">
        <v>0</v>
      </c>
      <c r="S50" s="141">
        <v>0</v>
      </c>
      <c r="T50" s="141">
        <v>743.59</v>
      </c>
      <c r="U50" s="141">
        <v>74888.35609999999</v>
      </c>
    </row>
    <row r="51" spans="1:21" s="146" customFormat="1" ht="38.25" customHeight="1" x14ac:dyDescent="0.4">
      <c r="A51" s="237" t="s">
        <v>119</v>
      </c>
      <c r="B51" s="237"/>
      <c r="C51" s="139">
        <v>121292.88389999999</v>
      </c>
      <c r="D51" s="141">
        <v>131.851</v>
      </c>
      <c r="E51" s="141">
        <v>2040.2459999999999</v>
      </c>
      <c r="F51" s="141">
        <v>0</v>
      </c>
      <c r="G51" s="141">
        <v>51.63</v>
      </c>
      <c r="H51" s="187">
        <v>121424.73489999998</v>
      </c>
      <c r="I51" s="139">
        <v>11275.581999999999</v>
      </c>
      <c r="J51" s="141">
        <v>113.00500000000001</v>
      </c>
      <c r="K51" s="141">
        <v>480.19100000000003</v>
      </c>
      <c r="L51" s="141">
        <v>1.03</v>
      </c>
      <c r="M51" s="141">
        <v>1.52</v>
      </c>
      <c r="N51" s="187">
        <v>11387.557000000001</v>
      </c>
      <c r="O51" s="139">
        <v>1597.7000000000003</v>
      </c>
      <c r="P51" s="141">
        <v>5.5</v>
      </c>
      <c r="Q51" s="141">
        <v>8</v>
      </c>
      <c r="R51" s="141">
        <v>0</v>
      </c>
      <c r="S51" s="141">
        <v>82.039999999999992</v>
      </c>
      <c r="T51" s="187">
        <v>1603.2000000000003</v>
      </c>
      <c r="U51" s="141">
        <v>134415.49189999999</v>
      </c>
    </row>
    <row r="52" spans="1:21" s="111" customFormat="1" ht="19.5" customHeight="1" x14ac:dyDescent="0.4">
      <c r="A52" s="115"/>
      <c r="B52" s="115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</row>
    <row r="53" spans="1:21" s="115" customFormat="1" ht="24.75" hidden="1" customHeight="1" x14ac:dyDescent="0.4">
      <c r="B53" s="183"/>
      <c r="C53" s="189" t="s">
        <v>54</v>
      </c>
      <c r="D53" s="189"/>
      <c r="E53" s="189"/>
      <c r="F53" s="189"/>
      <c r="G53" s="189"/>
      <c r="H53" s="118"/>
      <c r="I53" s="183"/>
      <c r="J53" s="183">
        <f>D51+J51+P51-F51-L51-R51</f>
        <v>249.32599999999999</v>
      </c>
      <c r="K53" s="183"/>
      <c r="L53" s="183"/>
      <c r="M53" s="183"/>
      <c r="N53" s="183"/>
      <c r="R53" s="183"/>
      <c r="U53" s="183"/>
    </row>
    <row r="54" spans="1:21" s="115" customFormat="1" ht="30" hidden="1" customHeight="1" x14ac:dyDescent="0.35">
      <c r="B54" s="183"/>
      <c r="C54" s="189" t="s">
        <v>55</v>
      </c>
      <c r="D54" s="189"/>
      <c r="E54" s="189"/>
      <c r="F54" s="189"/>
      <c r="G54" s="189"/>
      <c r="H54" s="119"/>
      <c r="I54" s="183"/>
      <c r="J54" s="183">
        <f>E51+K51+Q51-G51-M51-S51</f>
        <v>2393.2469999999998</v>
      </c>
      <c r="K54" s="183"/>
      <c r="L54" s="183"/>
      <c r="M54" s="183"/>
      <c r="N54" s="183"/>
      <c r="R54" s="183"/>
      <c r="T54" s="183"/>
    </row>
    <row r="55" spans="1:21" ht="33" hidden="1" customHeight="1" x14ac:dyDescent="0.5">
      <c r="C55" s="189" t="s">
        <v>56</v>
      </c>
      <c r="D55" s="189"/>
      <c r="E55" s="189"/>
      <c r="F55" s="189"/>
      <c r="G55" s="189"/>
      <c r="H55" s="119"/>
      <c r="I55" s="121"/>
      <c r="J55" s="183">
        <f>H51+N51+T51</f>
        <v>134415.49189999999</v>
      </c>
      <c r="K55" s="119"/>
      <c r="L55" s="119"/>
      <c r="M55" s="142" t="e">
        <f>#REF!+'Nov-2023'!J53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83"/>
      <c r="E56" s="183"/>
      <c r="F56" s="183"/>
      <c r="G56" s="183"/>
      <c r="H56" s="119"/>
      <c r="I56" s="121"/>
      <c r="J56" s="183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83"/>
      <c r="E57" s="183"/>
      <c r="F57" s="183"/>
      <c r="G57" s="183"/>
      <c r="H57" s="119"/>
      <c r="I57" s="121"/>
      <c r="J57" s="183"/>
      <c r="K57" s="119"/>
      <c r="L57" s="119"/>
      <c r="M57" s="142" t="e">
        <f>#REF!+'Nov-2023'!J53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32" t="s">
        <v>57</v>
      </c>
      <c r="C58" s="232"/>
      <c r="D58" s="232"/>
      <c r="E58" s="232"/>
      <c r="F58" s="232"/>
      <c r="G58" s="153"/>
      <c r="H58" s="154"/>
      <c r="I58" s="155"/>
      <c r="J58" s="234"/>
      <c r="K58" s="233"/>
      <c r="L58" s="233"/>
      <c r="M58" s="169" t="e">
        <f>#REF!+'Nov-2023'!J53</f>
        <v>#REF!</v>
      </c>
      <c r="N58" s="154"/>
      <c r="O58" s="154"/>
      <c r="P58" s="185"/>
      <c r="Q58" s="232" t="s">
        <v>58</v>
      </c>
      <c r="R58" s="232"/>
      <c r="S58" s="232"/>
      <c r="T58" s="232"/>
      <c r="U58" s="232"/>
    </row>
    <row r="59" spans="1:21" s="152" customFormat="1" ht="37.5" hidden="1" customHeight="1" x14ac:dyDescent="0.45">
      <c r="B59" s="232" t="s">
        <v>59</v>
      </c>
      <c r="C59" s="232"/>
      <c r="D59" s="232"/>
      <c r="E59" s="232"/>
      <c r="F59" s="232"/>
      <c r="G59" s="154"/>
      <c r="H59" s="153"/>
      <c r="I59" s="156"/>
      <c r="J59" s="157"/>
      <c r="K59" s="186"/>
      <c r="L59" s="157"/>
      <c r="M59" s="154"/>
      <c r="N59" s="153"/>
      <c r="O59" s="154"/>
      <c r="P59" s="185"/>
      <c r="Q59" s="232" t="s">
        <v>59</v>
      </c>
      <c r="R59" s="232"/>
      <c r="S59" s="232"/>
      <c r="T59" s="232"/>
      <c r="U59" s="232"/>
    </row>
    <row r="60" spans="1:21" s="152" customFormat="1" ht="37.5" hidden="1" customHeight="1" x14ac:dyDescent="0.45">
      <c r="I60" s="158"/>
      <c r="J60" s="233" t="s">
        <v>61</v>
      </c>
      <c r="K60" s="233"/>
      <c r="L60" s="233"/>
      <c r="M60" s="159" t="e">
        <f>#REF!+'Nov-2023'!J53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#REF!+'Nov-2023'!J53</f>
        <v>#REF!</v>
      </c>
      <c r="I61" s="158"/>
      <c r="J61" s="233" t="s">
        <v>62</v>
      </c>
      <c r="K61" s="233"/>
      <c r="L61" s="233"/>
      <c r="M61" s="159" t="e">
        <f>#REF!+'Nov-2023'!J53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L5:M5"/>
    <mergeCell ref="N5:N6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A11:B11"/>
    <mergeCell ref="F5:G5"/>
    <mergeCell ref="H5:H6"/>
    <mergeCell ref="I5:I6"/>
    <mergeCell ref="J5:K5"/>
    <mergeCell ref="O5:O6"/>
    <mergeCell ref="P5:Q5"/>
    <mergeCell ref="R5:S5"/>
    <mergeCell ref="T5:T6"/>
    <mergeCell ref="U5:U6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B59:F59"/>
    <mergeCell ref="Q59:U59"/>
    <mergeCell ref="J60:L60"/>
    <mergeCell ref="J61:L61"/>
    <mergeCell ref="C53:G53"/>
    <mergeCell ref="C54:G54"/>
    <mergeCell ref="C55:G55"/>
    <mergeCell ref="B58:F58"/>
    <mergeCell ref="J58:L58"/>
    <mergeCell ref="Q58:U58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4:P37"/>
  <sheetViews>
    <sheetView topLeftCell="A7" workbookViewId="0">
      <selection activeCell="I39" sqref="I39"/>
    </sheetView>
  </sheetViews>
  <sheetFormatPr defaultRowHeight="15" x14ac:dyDescent="0.25"/>
  <cols>
    <col min="6" max="6" width="24" customWidth="1"/>
    <col min="7" max="7" width="10.85546875" customWidth="1"/>
    <col min="8" max="9" width="9.5703125" bestFit="1" customWidth="1"/>
  </cols>
  <sheetData>
    <row r="14" spans="5:16" s="147" customFormat="1" x14ac:dyDescent="0.25">
      <c r="F14" s="196" t="s">
        <v>73</v>
      </c>
      <c r="G14" s="196"/>
      <c r="H14" s="196"/>
      <c r="J14" s="196" t="s">
        <v>74</v>
      </c>
      <c r="K14" s="196"/>
      <c r="L14" s="196"/>
      <c r="N14" s="196" t="s">
        <v>75</v>
      </c>
      <c r="O14" s="196"/>
      <c r="P14" s="196"/>
    </row>
    <row r="15" spans="5:16" s="147" customFormat="1" x14ac:dyDescent="0.25">
      <c r="F15" s="168" t="s">
        <v>77</v>
      </c>
      <c r="G15" s="148" t="s">
        <v>76</v>
      </c>
      <c r="H15" s="149" t="e">
        <f>#REF!</f>
        <v>#REF!</v>
      </c>
      <c r="L15" s="149" t="e">
        <f>#REF!</f>
        <v>#REF!</v>
      </c>
      <c r="P15" s="149" t="e">
        <f>#REF!</f>
        <v>#REF!</v>
      </c>
    </row>
    <row r="16" spans="5:16" x14ac:dyDescent="0.25">
      <c r="E16" s="150">
        <v>43922</v>
      </c>
      <c r="F16" s="151" t="e">
        <f>#REF!</f>
        <v>#REF!</v>
      </c>
      <c r="G16" s="151">
        <f>'[1]APRIL 18'!F49</f>
        <v>0</v>
      </c>
      <c r="H16" s="151" t="e">
        <f>H15+F16-G16</f>
        <v>#REF!</v>
      </c>
      <c r="J16" s="151" t="e">
        <f>#REF!</f>
        <v>#REF!</v>
      </c>
      <c r="K16" s="151">
        <f>'[1]APRIL 18'!L49</f>
        <v>0</v>
      </c>
      <c r="L16" s="151" t="e">
        <f>L15+J16-K16</f>
        <v>#REF!</v>
      </c>
      <c r="N16" s="151" t="e">
        <f>#REF!</f>
        <v>#REF!</v>
      </c>
      <c r="O16" s="151">
        <f>'[1]APRIL 18'!R49</f>
        <v>0</v>
      </c>
      <c r="P16" s="151" t="e">
        <f>P15+N16-O16</f>
        <v>#REF!</v>
      </c>
    </row>
    <row r="17" spans="5:16" x14ac:dyDescent="0.25">
      <c r="E17" s="150">
        <v>43952</v>
      </c>
      <c r="F17" s="151" t="e">
        <f>#REF!</f>
        <v>#REF!</v>
      </c>
      <c r="G17" s="151" t="e">
        <f>#REF!</f>
        <v>#REF!</v>
      </c>
      <c r="H17" s="151" t="e">
        <f>H16+F17-G17</f>
        <v>#REF!</v>
      </c>
      <c r="J17" s="151" t="e">
        <f>#REF!</f>
        <v>#REF!</v>
      </c>
      <c r="K17" s="151" t="e">
        <f>#REF!</f>
        <v>#REF!</v>
      </c>
      <c r="L17" s="151" t="e">
        <f>L16+J17-K17</f>
        <v>#REF!</v>
      </c>
      <c r="N17" s="151" t="e">
        <f>#REF!</f>
        <v>#REF!</v>
      </c>
      <c r="O17" s="151">
        <f>'[1]may 18'!R49</f>
        <v>0</v>
      </c>
      <c r="P17" s="151" t="e">
        <f>P16+N17-O17</f>
        <v>#REF!</v>
      </c>
    </row>
    <row r="18" spans="5:16" x14ac:dyDescent="0.25">
      <c r="E18" s="150">
        <v>43983</v>
      </c>
      <c r="F18" s="151" t="e">
        <f>#REF!</f>
        <v>#REF!</v>
      </c>
      <c r="G18" s="151" t="e">
        <f>#REF!</f>
        <v>#REF!</v>
      </c>
      <c r="H18" s="151" t="e">
        <f>H17+F18-G18</f>
        <v>#REF!</v>
      </c>
      <c r="J18" s="151" t="e">
        <f>#REF!</f>
        <v>#REF!</v>
      </c>
      <c r="K18" s="151" t="e">
        <f>#REF!</f>
        <v>#REF!</v>
      </c>
      <c r="L18" s="151" t="e">
        <f>L17+J18-K18</f>
        <v>#REF!</v>
      </c>
      <c r="N18" s="151" t="e">
        <f>#REF!-#REF!</f>
        <v>#REF!</v>
      </c>
      <c r="O18" s="151">
        <f>'[1]june 18'!R50</f>
        <v>0</v>
      </c>
      <c r="P18" s="151" t="e">
        <f>P17+N18-O18</f>
        <v>#REF!</v>
      </c>
    </row>
    <row r="19" spans="5:16" x14ac:dyDescent="0.25">
      <c r="E19" s="150">
        <v>44013</v>
      </c>
      <c r="F19" s="151" t="e">
        <f>#REF!</f>
        <v>#REF!</v>
      </c>
      <c r="G19" s="151" t="e">
        <f>#REF!</f>
        <v>#REF!</v>
      </c>
      <c r="H19" s="151" t="e">
        <f>H18+F19-G19</f>
        <v>#REF!</v>
      </c>
      <c r="J19" s="151" t="e">
        <f>#REF!</f>
        <v>#REF!</v>
      </c>
      <c r="K19" s="151">
        <f>'[1]july 18'!L50</f>
        <v>0</v>
      </c>
      <c r="L19" s="151" t="e">
        <f>L18+J19-K19</f>
        <v>#REF!</v>
      </c>
      <c r="N19" s="151" t="e">
        <f>#REF!</f>
        <v>#REF!</v>
      </c>
      <c r="O19" s="151" t="e">
        <f>#REF!</f>
        <v>#REF!</v>
      </c>
      <c r="P19" s="151" t="e">
        <f>P18+N19-O19</f>
        <v>#REF!</v>
      </c>
    </row>
    <row r="20" spans="5:16" x14ac:dyDescent="0.25">
      <c r="E20" s="150">
        <v>44044</v>
      </c>
      <c r="F20" s="151" t="e">
        <f>#REF!</f>
        <v>#REF!</v>
      </c>
      <c r="G20" s="151" t="e">
        <f>#REF!</f>
        <v>#REF!</v>
      </c>
      <c r="H20" s="151" t="e">
        <f t="shared" ref="H20:H27" si="0">H19+F20-G20</f>
        <v>#REF!</v>
      </c>
      <c r="J20" s="151" t="e">
        <f>#REF!</f>
        <v>#REF!</v>
      </c>
      <c r="K20" s="151" t="e">
        <f>#REF!</f>
        <v>#REF!</v>
      </c>
      <c r="L20" s="151" t="e">
        <f t="shared" ref="L20:L27" si="1">L19+J20-K20</f>
        <v>#REF!</v>
      </c>
      <c r="N20" s="151" t="e">
        <f>#REF!</f>
        <v>#REF!</v>
      </c>
      <c r="O20" s="151" t="e">
        <f>#REF!</f>
        <v>#REF!</v>
      </c>
      <c r="P20" s="151" t="e">
        <f t="shared" ref="P20:P27" si="2">P19+N20-O20</f>
        <v>#REF!</v>
      </c>
    </row>
    <row r="21" spans="5:16" x14ac:dyDescent="0.25">
      <c r="E21" s="150">
        <v>44075</v>
      </c>
      <c r="F21" s="151"/>
      <c r="G21" s="151">
        <f>'[1]sep 18'!F50</f>
        <v>0</v>
      </c>
      <c r="H21" s="151" t="e">
        <f t="shared" si="0"/>
        <v>#REF!</v>
      </c>
      <c r="J21" s="151"/>
      <c r="K21" s="151">
        <f>'[1]sep 18'!L50</f>
        <v>0</v>
      </c>
      <c r="L21" s="151" t="e">
        <f t="shared" si="1"/>
        <v>#REF!</v>
      </c>
      <c r="N21" s="151"/>
      <c r="O21" s="151">
        <f>'[1]sep 18'!R50</f>
        <v>0</v>
      </c>
      <c r="P21" s="151" t="e">
        <f t="shared" si="2"/>
        <v>#REF!</v>
      </c>
    </row>
    <row r="22" spans="5:16" x14ac:dyDescent="0.25">
      <c r="E22" s="150">
        <v>44105</v>
      </c>
      <c r="F22" s="151"/>
      <c r="G22" s="151">
        <f>'[1]oct 18'!F50</f>
        <v>0</v>
      </c>
      <c r="H22" s="151" t="e">
        <f t="shared" si="0"/>
        <v>#REF!</v>
      </c>
      <c r="J22" s="151"/>
      <c r="K22" s="151">
        <f>'[1]oct 18'!L50</f>
        <v>0</v>
      </c>
      <c r="L22" s="151" t="e">
        <f t="shared" si="1"/>
        <v>#REF!</v>
      </c>
      <c r="N22" s="151"/>
      <c r="O22" s="151">
        <f>'[1]oct 18'!R50</f>
        <v>0</v>
      </c>
      <c r="P22" s="151" t="e">
        <f t="shared" si="2"/>
        <v>#REF!</v>
      </c>
    </row>
    <row r="23" spans="5:16" x14ac:dyDescent="0.25">
      <c r="E23" s="150">
        <v>44136</v>
      </c>
      <c r="F23" s="151"/>
      <c r="G23" s="151">
        <f>'[1]nov 18'!F50</f>
        <v>0</v>
      </c>
      <c r="H23" s="151" t="e">
        <f t="shared" si="0"/>
        <v>#REF!</v>
      </c>
      <c r="J23" s="151"/>
      <c r="K23" s="151">
        <f>'[1]nov 18'!L50</f>
        <v>0</v>
      </c>
      <c r="L23" s="151" t="e">
        <f t="shared" si="1"/>
        <v>#REF!</v>
      </c>
      <c r="N23" s="151"/>
      <c r="O23" s="151">
        <f>'[1]nov 18'!R50</f>
        <v>0</v>
      </c>
      <c r="P23" s="151" t="e">
        <f t="shared" si="2"/>
        <v>#REF!</v>
      </c>
    </row>
    <row r="24" spans="5:16" x14ac:dyDescent="0.25">
      <c r="E24" s="150">
        <v>44166</v>
      </c>
      <c r="F24" s="151"/>
      <c r="G24" s="151">
        <f>'[1]dec 18'!F50</f>
        <v>0</v>
      </c>
      <c r="H24" s="151" t="e">
        <f t="shared" si="0"/>
        <v>#REF!</v>
      </c>
      <c r="J24" s="151"/>
      <c r="K24" s="151">
        <f>'[1]dec 18'!L50</f>
        <v>0</v>
      </c>
      <c r="L24" s="151" t="e">
        <f t="shared" si="1"/>
        <v>#REF!</v>
      </c>
      <c r="N24" s="151"/>
      <c r="O24" s="151">
        <f>'[1]dec 18'!R50</f>
        <v>0</v>
      </c>
      <c r="P24" s="151" t="e">
        <f t="shared" si="2"/>
        <v>#REF!</v>
      </c>
    </row>
    <row r="25" spans="5:16" x14ac:dyDescent="0.25">
      <c r="E25" s="150">
        <v>44197</v>
      </c>
      <c r="F25" s="151"/>
      <c r="G25" s="151">
        <f>'[1]jan 19'!F50</f>
        <v>0</v>
      </c>
      <c r="H25" s="151" t="e">
        <f t="shared" si="0"/>
        <v>#REF!</v>
      </c>
      <c r="J25" s="151"/>
      <c r="K25" s="151">
        <f>'[1]jan 19'!L50</f>
        <v>0</v>
      </c>
      <c r="L25" s="151" t="e">
        <f t="shared" si="1"/>
        <v>#REF!</v>
      </c>
      <c r="N25" s="151"/>
      <c r="O25" s="151">
        <f>'[1]jan 19'!R50</f>
        <v>0</v>
      </c>
      <c r="P25" s="151" t="e">
        <f t="shared" si="2"/>
        <v>#REF!</v>
      </c>
    </row>
    <row r="26" spans="5:16" x14ac:dyDescent="0.25">
      <c r="E26" s="150">
        <v>44228</v>
      </c>
      <c r="F26" s="151"/>
      <c r="G26" s="151">
        <f>'[1]feb 19'!F50</f>
        <v>0</v>
      </c>
      <c r="H26" s="151" t="e">
        <f t="shared" si="0"/>
        <v>#REF!</v>
      </c>
      <c r="J26" s="151"/>
      <c r="K26" s="151">
        <f>'[1]feb 19'!L50</f>
        <v>0</v>
      </c>
      <c r="L26" s="151" t="e">
        <f t="shared" si="1"/>
        <v>#REF!</v>
      </c>
      <c r="N26" s="151"/>
      <c r="O26" s="151">
        <f>'[1]feb 19'!R50</f>
        <v>0</v>
      </c>
      <c r="P26" s="151" t="e">
        <f t="shared" si="2"/>
        <v>#REF!</v>
      </c>
    </row>
    <row r="27" spans="5:16" x14ac:dyDescent="0.25">
      <c r="E27" s="150">
        <v>44256</v>
      </c>
      <c r="F27" s="151"/>
      <c r="G27" s="151">
        <f>'[1]mar 19'!F50</f>
        <v>0</v>
      </c>
      <c r="H27" s="151" t="e">
        <f t="shared" si="0"/>
        <v>#REF!</v>
      </c>
      <c r="J27" s="151"/>
      <c r="K27" s="151">
        <f>'[1]mar 19'!L50</f>
        <v>0</v>
      </c>
      <c r="L27" s="151" t="e">
        <f t="shared" si="1"/>
        <v>#REF!</v>
      </c>
      <c r="N27" s="151"/>
      <c r="O27" s="151">
        <f>'[1]mar 19'!R50</f>
        <v>0</v>
      </c>
      <c r="P27" s="151" t="e">
        <f t="shared" si="2"/>
        <v>#REF!</v>
      </c>
    </row>
    <row r="28" spans="5:16" x14ac:dyDescent="0.25">
      <c r="F28" s="151" t="e">
        <f>SUM(F16:F27)</f>
        <v>#REF!</v>
      </c>
      <c r="G28" s="151" t="e">
        <f>SUM(G16:G27)</f>
        <v>#REF!</v>
      </c>
      <c r="J28" s="151" t="e">
        <f>SUM(J16:J27)</f>
        <v>#REF!</v>
      </c>
      <c r="K28" s="151" t="e">
        <f>SUM(K16:K27)</f>
        <v>#REF!</v>
      </c>
      <c r="N28" s="151" t="e">
        <f>SUM(N16:N27)</f>
        <v>#REF!</v>
      </c>
      <c r="O28" s="151" t="e">
        <f>SUM(O16:O27)</f>
        <v>#REF!</v>
      </c>
    </row>
    <row r="32" spans="5:16" x14ac:dyDescent="0.25">
      <c r="F32" s="151" t="e">
        <f>F28+J28+N28</f>
        <v>#REF!</v>
      </c>
      <c r="G32" s="151" t="e">
        <f>G28+K28+O28</f>
        <v>#REF!</v>
      </c>
      <c r="H32" s="170" t="e">
        <f>H15+F28-G28</f>
        <v>#REF!</v>
      </c>
      <c r="L32" s="170" t="e">
        <f>L15+J28-K28</f>
        <v>#REF!</v>
      </c>
      <c r="P32" s="170" t="e">
        <f>P15+N28-O28</f>
        <v>#REF!</v>
      </c>
    </row>
    <row r="37" spans="6:8" x14ac:dyDescent="0.25">
      <c r="F37" s="151" t="e">
        <f>H15+L15+P15+F32-G28-K28</f>
        <v>#REF!</v>
      </c>
      <c r="H37" s="151" t="e">
        <f>H32+L32+P32</f>
        <v>#REF!</v>
      </c>
    </row>
  </sheetData>
  <mergeCells count="3">
    <mergeCell ref="F14:H14"/>
    <mergeCell ref="J14:L14"/>
    <mergeCell ref="N14:P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zoomScale="62" zoomScaleNormal="62" workbookViewId="0">
      <selection activeCell="J8" sqref="J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99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1"/>
    </row>
    <row r="2" spans="1:22" ht="15" customHeight="1" x14ac:dyDescent="0.35">
      <c r="A2" s="195" t="s">
        <v>70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1:22" ht="32.25" customHeight="1" x14ac:dyDescent="0.3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</row>
    <row r="4" spans="1:22" s="108" customFormat="1" ht="43.5" customHeight="1" x14ac:dyDescent="0.25">
      <c r="A4" s="192" t="s">
        <v>1</v>
      </c>
      <c r="B4" s="192" t="s">
        <v>2</v>
      </c>
      <c r="C4" s="192" t="s">
        <v>3</v>
      </c>
      <c r="D4" s="192"/>
      <c r="E4" s="192"/>
      <c r="F4" s="192"/>
      <c r="G4" s="192"/>
      <c r="H4" s="192"/>
      <c r="I4" s="192" t="s">
        <v>4</v>
      </c>
      <c r="J4" s="193"/>
      <c r="K4" s="193"/>
      <c r="L4" s="193"/>
      <c r="M4" s="193"/>
      <c r="N4" s="193"/>
      <c r="O4" s="192" t="s">
        <v>5</v>
      </c>
      <c r="P4" s="193"/>
      <c r="Q4" s="193"/>
      <c r="R4" s="193"/>
      <c r="S4" s="193"/>
      <c r="T4" s="193"/>
      <c r="U4" s="134"/>
    </row>
    <row r="5" spans="1:22" s="108" customFormat="1" ht="54.75" customHeight="1" x14ac:dyDescent="0.25">
      <c r="A5" s="193"/>
      <c r="B5" s="193"/>
      <c r="C5" s="192" t="s">
        <v>6</v>
      </c>
      <c r="D5" s="192" t="s">
        <v>7</v>
      </c>
      <c r="E5" s="192"/>
      <c r="F5" s="192" t="s">
        <v>8</v>
      </c>
      <c r="G5" s="192"/>
      <c r="H5" s="197" t="s">
        <v>9</v>
      </c>
      <c r="I5" s="192" t="s">
        <v>6</v>
      </c>
      <c r="J5" s="192" t="s">
        <v>7</v>
      </c>
      <c r="K5" s="192"/>
      <c r="L5" s="192" t="s">
        <v>8</v>
      </c>
      <c r="M5" s="192"/>
      <c r="N5" s="192" t="s">
        <v>9</v>
      </c>
      <c r="O5" s="192" t="s">
        <v>6</v>
      </c>
      <c r="P5" s="192" t="s">
        <v>7</v>
      </c>
      <c r="Q5" s="192"/>
      <c r="R5" s="192" t="s">
        <v>8</v>
      </c>
      <c r="S5" s="192"/>
      <c r="T5" s="192" t="s">
        <v>9</v>
      </c>
      <c r="U5" s="192" t="s">
        <v>10</v>
      </c>
    </row>
    <row r="6" spans="1:22" s="108" customFormat="1" ht="38.25" customHeight="1" x14ac:dyDescent="0.25">
      <c r="A6" s="193"/>
      <c r="B6" s="193"/>
      <c r="C6" s="193"/>
      <c r="D6" s="133" t="s">
        <v>11</v>
      </c>
      <c r="E6" s="133" t="s">
        <v>12</v>
      </c>
      <c r="F6" s="133" t="s">
        <v>11</v>
      </c>
      <c r="G6" s="133" t="s">
        <v>12</v>
      </c>
      <c r="H6" s="198"/>
      <c r="I6" s="193"/>
      <c r="J6" s="133" t="s">
        <v>11</v>
      </c>
      <c r="K6" s="133" t="s">
        <v>12</v>
      </c>
      <c r="L6" s="133" t="s">
        <v>11</v>
      </c>
      <c r="M6" s="133" t="s">
        <v>12</v>
      </c>
      <c r="N6" s="192"/>
      <c r="O6" s="193"/>
      <c r="P6" s="133" t="s">
        <v>11</v>
      </c>
      <c r="Q6" s="133" t="s">
        <v>12</v>
      </c>
      <c r="R6" s="133" t="s">
        <v>11</v>
      </c>
      <c r="S6" s="133" t="s">
        <v>12</v>
      </c>
      <c r="T6" s="192"/>
      <c r="U6" s="192"/>
    </row>
    <row r="7" spans="1:22" ht="55.5" customHeight="1" x14ac:dyDescent="0.35">
      <c r="A7" s="134">
        <v>1</v>
      </c>
      <c r="B7" s="134" t="s">
        <v>30</v>
      </c>
      <c r="C7" s="109">
        <v>6879.2699999999995</v>
      </c>
      <c r="D7" s="109">
        <v>24.08</v>
      </c>
      <c r="E7" s="109" t="e">
        <f>#REF!+braz!D7</f>
        <v>#REF!</v>
      </c>
      <c r="F7" s="109">
        <v>0</v>
      </c>
      <c r="G7" s="109" t="e">
        <f>#REF!+braz!F7</f>
        <v>#REF!</v>
      </c>
      <c r="H7" s="109">
        <f t="shared" ref="H7:H20" si="0">C7+(D7-F7)</f>
        <v>6903.3499999999995</v>
      </c>
      <c r="I7" s="109">
        <v>58.64</v>
      </c>
      <c r="J7" s="109">
        <v>0</v>
      </c>
      <c r="K7" s="109" t="e">
        <f>#REF!+braz!J7</f>
        <v>#REF!</v>
      </c>
      <c r="L7" s="109">
        <v>0</v>
      </c>
      <c r="M7" s="109" t="e">
        <f>#REF!+braz!L7</f>
        <v>#REF!</v>
      </c>
      <c r="N7" s="109">
        <f t="shared" ref="N7:N20" si="1">I7+(J7-L7)</f>
        <v>58.64</v>
      </c>
      <c r="O7" s="109">
        <v>0</v>
      </c>
      <c r="P7" s="109">
        <v>0</v>
      </c>
      <c r="Q7" s="109" t="e">
        <f>#REF!+braz!P7</f>
        <v>#REF!</v>
      </c>
      <c r="R7" s="109">
        <v>0</v>
      </c>
      <c r="S7" s="109" t="e">
        <f>#REF!+braz!R7</f>
        <v>#REF!</v>
      </c>
      <c r="T7" s="109">
        <f t="shared" ref="T7:T20" si="2">O7+(P7-R7)</f>
        <v>0</v>
      </c>
      <c r="U7" s="109">
        <f t="shared" ref="U7:U19" si="3">H7+N7+T7</f>
        <v>6961.99</v>
      </c>
    </row>
    <row r="8" spans="1:22" s="111" customFormat="1" ht="55.5" customHeight="1" x14ac:dyDescent="0.4">
      <c r="A8" s="134">
        <v>2</v>
      </c>
      <c r="B8" s="134" t="s">
        <v>31</v>
      </c>
      <c r="C8" s="109">
        <v>4890.3000000000011</v>
      </c>
      <c r="D8" s="109">
        <v>7.81</v>
      </c>
      <c r="E8" s="109" t="e">
        <f>#REF!+braz!D8</f>
        <v>#REF!</v>
      </c>
      <c r="F8" s="109">
        <v>0</v>
      </c>
      <c r="G8" s="109" t="e">
        <f>#REF!+braz!F8</f>
        <v>#REF!</v>
      </c>
      <c r="H8" s="109">
        <f t="shared" si="0"/>
        <v>4898.1100000000015</v>
      </c>
      <c r="I8" s="109">
        <v>512.21799999999996</v>
      </c>
      <c r="J8" s="109">
        <v>0.03</v>
      </c>
      <c r="K8" s="109" t="e">
        <f>#REF!+braz!J8</f>
        <v>#REF!</v>
      </c>
      <c r="L8" s="109">
        <v>0</v>
      </c>
      <c r="M8" s="109" t="e">
        <f>#REF!+braz!L8</f>
        <v>#REF!</v>
      </c>
      <c r="N8" s="109">
        <f t="shared" si="1"/>
        <v>512.24799999999993</v>
      </c>
      <c r="O8" s="109">
        <v>3.0000000000000004</v>
      </c>
      <c r="P8" s="109">
        <v>0.04</v>
      </c>
      <c r="Q8" s="109" t="e">
        <f>#REF!+braz!P8</f>
        <v>#REF!</v>
      </c>
      <c r="R8" s="109">
        <v>0</v>
      </c>
      <c r="S8" s="109" t="e">
        <f>#REF!+braz!R8</f>
        <v>#REF!</v>
      </c>
      <c r="T8" s="109">
        <f t="shared" si="2"/>
        <v>3.0400000000000005</v>
      </c>
      <c r="U8" s="109">
        <f t="shared" si="3"/>
        <v>5413.398000000001</v>
      </c>
      <c r="V8" s="132"/>
    </row>
    <row r="9" spans="1:22" s="111" customFormat="1" ht="55.5" customHeight="1" x14ac:dyDescent="0.4">
      <c r="A9" s="133"/>
      <c r="B9" s="133" t="s">
        <v>32</v>
      </c>
      <c r="C9" s="110">
        <f>SUM(C7:C8)</f>
        <v>11769.57</v>
      </c>
      <c r="D9" s="110">
        <f>D8+D7</f>
        <v>31.889999999999997</v>
      </c>
      <c r="E9" s="110" t="e">
        <f>#REF!+braz!D9</f>
        <v>#REF!</v>
      </c>
      <c r="F9" s="110">
        <f>F8+F7</f>
        <v>0</v>
      </c>
      <c r="G9" s="110" t="e">
        <f>#REF!+braz!F9</f>
        <v>#REF!</v>
      </c>
      <c r="H9" s="110">
        <f t="shared" si="0"/>
        <v>11801.46</v>
      </c>
      <c r="I9" s="110">
        <f>SUM(I7:I8)</f>
        <v>570.85799999999995</v>
      </c>
      <c r="J9" s="110">
        <f>J8+J7</f>
        <v>0.03</v>
      </c>
      <c r="K9" s="110" t="e">
        <f>#REF!+braz!J9</f>
        <v>#REF!</v>
      </c>
      <c r="L9" s="110">
        <f>L8+L7</f>
        <v>0</v>
      </c>
      <c r="M9" s="110" t="e">
        <f>#REF!+braz!L9</f>
        <v>#REF!</v>
      </c>
      <c r="N9" s="110">
        <f t="shared" si="1"/>
        <v>570.88799999999992</v>
      </c>
      <c r="O9" s="110">
        <f>SUM(O7:O8)</f>
        <v>3.0000000000000004</v>
      </c>
      <c r="P9" s="110">
        <f>P8+P7</f>
        <v>0.04</v>
      </c>
      <c r="Q9" s="110" t="e">
        <f>#REF!+braz!P9</f>
        <v>#REF!</v>
      </c>
      <c r="R9" s="110">
        <f>R8+R7</f>
        <v>0</v>
      </c>
      <c r="S9" s="110" t="e">
        <f>#REF!+braz!R9</f>
        <v>#REF!</v>
      </c>
      <c r="T9" s="110">
        <f t="shared" si="2"/>
        <v>3.0400000000000005</v>
      </c>
      <c r="U9" s="110">
        <f t="shared" si="3"/>
        <v>12375.387999999999</v>
      </c>
    </row>
    <row r="10" spans="1:22" ht="55.5" customHeight="1" x14ac:dyDescent="0.35">
      <c r="A10" s="134">
        <v>3</v>
      </c>
      <c r="B10" s="134" t="s">
        <v>33</v>
      </c>
      <c r="C10" s="109">
        <v>3543.9629999999997</v>
      </c>
      <c r="D10" s="109">
        <v>45.25</v>
      </c>
      <c r="E10" s="109" t="e">
        <f>#REF!+braz!D10</f>
        <v>#REF!</v>
      </c>
      <c r="F10" s="109">
        <v>0</v>
      </c>
      <c r="G10" s="109" t="e">
        <f>#REF!+braz!F10</f>
        <v>#REF!</v>
      </c>
      <c r="H10" s="109">
        <f t="shared" si="0"/>
        <v>3589.2129999999997</v>
      </c>
      <c r="I10" s="109">
        <v>52.24</v>
      </c>
      <c r="J10" s="109">
        <v>0</v>
      </c>
      <c r="K10" s="109" t="e">
        <f>#REF!+braz!J10</f>
        <v>#REF!</v>
      </c>
      <c r="L10" s="109">
        <v>0</v>
      </c>
      <c r="M10" s="109" t="e">
        <f>#REF!+braz!L10</f>
        <v>#REF!</v>
      </c>
      <c r="N10" s="109">
        <f t="shared" si="1"/>
        <v>52.24</v>
      </c>
      <c r="O10" s="109">
        <v>56.250000000000007</v>
      </c>
      <c r="P10" s="109">
        <v>0</v>
      </c>
      <c r="Q10" s="109" t="e">
        <f>#REF!+braz!P10</f>
        <v>#REF!</v>
      </c>
      <c r="R10" s="109">
        <v>0</v>
      </c>
      <c r="S10" s="109" t="e">
        <f>#REF!+braz!R10</f>
        <v>#REF!</v>
      </c>
      <c r="T10" s="109">
        <f t="shared" si="2"/>
        <v>56.250000000000007</v>
      </c>
      <c r="U10" s="109">
        <f t="shared" si="3"/>
        <v>3697.7029999999995</v>
      </c>
    </row>
    <row r="11" spans="1:22" ht="55.5" customHeight="1" x14ac:dyDescent="0.35">
      <c r="A11" s="134">
        <v>4</v>
      </c>
      <c r="B11" s="134" t="s">
        <v>64</v>
      </c>
      <c r="C11" s="109">
        <v>213.87100000000001</v>
      </c>
      <c r="D11" s="109">
        <v>4.7439999999999998</v>
      </c>
      <c r="E11" s="109" t="e">
        <f>#REF!+braz!D11</f>
        <v>#REF!</v>
      </c>
      <c r="F11" s="109">
        <v>0</v>
      </c>
      <c r="G11" s="109" t="e">
        <f>#REF!+braz!F11</f>
        <v>#REF!</v>
      </c>
      <c r="H11" s="109">
        <f t="shared" si="0"/>
        <v>218.61500000000001</v>
      </c>
      <c r="I11" s="109">
        <v>10.198</v>
      </c>
      <c r="J11" s="109">
        <v>5.5</v>
      </c>
      <c r="K11" s="109" t="e">
        <f>#REF!+braz!J11</f>
        <v>#REF!</v>
      </c>
      <c r="L11" s="109">
        <v>0</v>
      </c>
      <c r="M11" s="109" t="e">
        <f>#REF!+braz!L11</f>
        <v>#REF!</v>
      </c>
      <c r="N11" s="109">
        <f t="shared" si="1"/>
        <v>15.698</v>
      </c>
      <c r="O11" s="109">
        <v>0</v>
      </c>
      <c r="P11" s="109">
        <v>0</v>
      </c>
      <c r="Q11" s="109" t="e">
        <f>#REF!+braz!P11</f>
        <v>#REF!</v>
      </c>
      <c r="R11" s="109">
        <v>0</v>
      </c>
      <c r="S11" s="109" t="e">
        <f>#REF!+braz!R11</f>
        <v>#REF!</v>
      </c>
      <c r="T11" s="109">
        <f t="shared" si="2"/>
        <v>0</v>
      </c>
      <c r="U11" s="109">
        <f t="shared" si="3"/>
        <v>234.31300000000002</v>
      </c>
    </row>
    <row r="12" spans="1:22" s="111" customFormat="1" ht="55.5" customHeight="1" x14ac:dyDescent="0.4">
      <c r="A12" s="134">
        <v>5</v>
      </c>
      <c r="B12" s="134" t="s">
        <v>34</v>
      </c>
      <c r="C12" s="109">
        <v>3826.6110000000003</v>
      </c>
      <c r="D12" s="109">
        <v>3.26</v>
      </c>
      <c r="E12" s="109" t="e">
        <f>#REF!+braz!D12</f>
        <v>#REF!</v>
      </c>
      <c r="F12" s="109">
        <v>0</v>
      </c>
      <c r="G12" s="109" t="e">
        <f>#REF!+braz!F12</f>
        <v>#REF!</v>
      </c>
      <c r="H12" s="109">
        <f t="shared" si="0"/>
        <v>3829.8710000000005</v>
      </c>
      <c r="I12" s="109">
        <v>41.210000000000008</v>
      </c>
      <c r="J12" s="109">
        <v>0</v>
      </c>
      <c r="K12" s="109" t="e">
        <f>#REF!+braz!J12</f>
        <v>#REF!</v>
      </c>
      <c r="L12" s="109">
        <v>0</v>
      </c>
      <c r="M12" s="109" t="e">
        <f>#REF!+braz!L12</f>
        <v>#REF!</v>
      </c>
      <c r="N12" s="109">
        <f t="shared" si="1"/>
        <v>41.210000000000008</v>
      </c>
      <c r="O12" s="109">
        <v>72.55</v>
      </c>
      <c r="P12" s="109">
        <v>0</v>
      </c>
      <c r="Q12" s="109" t="e">
        <f>#REF!+braz!P12</f>
        <v>#REF!</v>
      </c>
      <c r="R12" s="109">
        <v>0</v>
      </c>
      <c r="S12" s="109" t="e">
        <f>#REF!+braz!R12</f>
        <v>#REF!</v>
      </c>
      <c r="T12" s="109">
        <f t="shared" si="2"/>
        <v>72.55</v>
      </c>
      <c r="U12" s="109">
        <f t="shared" si="3"/>
        <v>3943.6310000000008</v>
      </c>
      <c r="V12" s="132"/>
    </row>
    <row r="13" spans="1:22" ht="55.5" customHeight="1" x14ac:dyDescent="0.35">
      <c r="A13" s="134">
        <v>6</v>
      </c>
      <c r="B13" s="134" t="s">
        <v>35</v>
      </c>
      <c r="C13" s="109">
        <v>2383.5333000000001</v>
      </c>
      <c r="D13" s="109">
        <v>10.210000000000001</v>
      </c>
      <c r="E13" s="109" t="e">
        <f>#REF!+braz!D13</f>
        <v>#REF!</v>
      </c>
      <c r="F13" s="109">
        <v>0</v>
      </c>
      <c r="G13" s="109" t="e">
        <f>#REF!+braz!F13</f>
        <v>#REF!</v>
      </c>
      <c r="H13" s="109">
        <f t="shared" si="0"/>
        <v>2393.7433000000001</v>
      </c>
      <c r="I13" s="109">
        <v>143.50399999999996</v>
      </c>
      <c r="J13" s="109">
        <v>0.06</v>
      </c>
      <c r="K13" s="109" t="e">
        <f>#REF!+braz!J13</f>
        <v>#REF!</v>
      </c>
      <c r="L13" s="109">
        <v>0</v>
      </c>
      <c r="M13" s="109" t="e">
        <f>#REF!+braz!L13</f>
        <v>#REF!</v>
      </c>
      <c r="N13" s="109">
        <f t="shared" si="1"/>
        <v>143.56399999999996</v>
      </c>
      <c r="O13" s="109">
        <v>18.149999999999999</v>
      </c>
      <c r="P13" s="109">
        <v>0</v>
      </c>
      <c r="Q13" s="109" t="e">
        <f>#REF!+braz!P13</f>
        <v>#REF!</v>
      </c>
      <c r="R13" s="109">
        <v>0</v>
      </c>
      <c r="S13" s="109" t="e">
        <f>#REF!+braz!R13</f>
        <v>#REF!</v>
      </c>
      <c r="T13" s="109">
        <f t="shared" si="2"/>
        <v>18.149999999999999</v>
      </c>
      <c r="U13" s="109">
        <f t="shared" si="3"/>
        <v>2555.4573</v>
      </c>
    </row>
    <row r="14" spans="1:22" s="111" customFormat="1" ht="55.5" customHeight="1" x14ac:dyDescent="0.4">
      <c r="A14" s="133"/>
      <c r="B14" s="133" t="s">
        <v>36</v>
      </c>
      <c r="C14" s="110">
        <f>SUM(C10:C13)</f>
        <v>9967.9782999999989</v>
      </c>
      <c r="D14" s="110">
        <f>D13+D12+D11+D10</f>
        <v>63.463999999999999</v>
      </c>
      <c r="E14" s="110" t="e">
        <f>#REF!+braz!D14</f>
        <v>#REF!</v>
      </c>
      <c r="F14" s="110">
        <f>F13+F12+F11+F10</f>
        <v>0</v>
      </c>
      <c r="G14" s="110" t="e">
        <f>#REF!+braz!F14</f>
        <v>#REF!</v>
      </c>
      <c r="H14" s="110">
        <f t="shared" si="0"/>
        <v>10031.442299999999</v>
      </c>
      <c r="I14" s="110">
        <f>SUM(I10:I13)</f>
        <v>247.15199999999999</v>
      </c>
      <c r="J14" s="110">
        <f>J13+J12+J11+J10</f>
        <v>5.56</v>
      </c>
      <c r="K14" s="110" t="e">
        <f>#REF!+braz!J14</f>
        <v>#REF!</v>
      </c>
      <c r="L14" s="110">
        <f>L13+L12+L11+L10</f>
        <v>0</v>
      </c>
      <c r="M14" s="110" t="e">
        <f>#REF!+braz!L14</f>
        <v>#REF!</v>
      </c>
      <c r="N14" s="110">
        <f t="shared" si="1"/>
        <v>252.71199999999999</v>
      </c>
      <c r="O14" s="110">
        <f>SUM(O10:O13)</f>
        <v>146.95000000000002</v>
      </c>
      <c r="P14" s="110">
        <f>P13+P12+P11+P10</f>
        <v>0</v>
      </c>
      <c r="Q14" s="110" t="e">
        <f>#REF!+braz!P14</f>
        <v>#REF!</v>
      </c>
      <c r="R14" s="110">
        <f>R13+R12+R11+R10</f>
        <v>0</v>
      </c>
      <c r="S14" s="110" t="e">
        <f>#REF!+braz!R14</f>
        <v>#REF!</v>
      </c>
      <c r="T14" s="110">
        <f t="shared" si="2"/>
        <v>146.95000000000002</v>
      </c>
      <c r="U14" s="110">
        <f t="shared" si="3"/>
        <v>10431.104299999999</v>
      </c>
    </row>
    <row r="15" spans="1:22" ht="55.5" customHeight="1" x14ac:dyDescent="0.35">
      <c r="A15" s="134">
        <v>7</v>
      </c>
      <c r="B15" s="134" t="s">
        <v>37</v>
      </c>
      <c r="C15" s="109">
        <v>4091.67</v>
      </c>
      <c r="D15" s="109">
        <v>6.53</v>
      </c>
      <c r="E15" s="109" t="e">
        <f>#REF!+braz!D15</f>
        <v>#REF!</v>
      </c>
      <c r="F15" s="109">
        <v>0</v>
      </c>
      <c r="G15" s="109" t="e">
        <f>#REF!+braz!F15</f>
        <v>#REF!</v>
      </c>
      <c r="H15" s="109">
        <f t="shared" si="0"/>
        <v>4098.2</v>
      </c>
      <c r="I15" s="109">
        <v>7.6</v>
      </c>
      <c r="J15" s="109">
        <v>0</v>
      </c>
      <c r="K15" s="109" t="e">
        <f>#REF!+braz!J15</f>
        <v>#REF!</v>
      </c>
      <c r="L15" s="109">
        <v>0</v>
      </c>
      <c r="M15" s="109" t="e">
        <f>#REF!+braz!L15</f>
        <v>#REF!</v>
      </c>
      <c r="N15" s="109">
        <f t="shared" si="1"/>
        <v>7.6</v>
      </c>
      <c r="O15" s="109">
        <v>0</v>
      </c>
      <c r="P15" s="109">
        <v>0</v>
      </c>
      <c r="Q15" s="109" t="e">
        <f>#REF!+braz!P15</f>
        <v>#REF!</v>
      </c>
      <c r="R15" s="109">
        <v>0</v>
      </c>
      <c r="S15" s="109" t="e">
        <f>#REF!+braz!R15</f>
        <v>#REF!</v>
      </c>
      <c r="T15" s="109">
        <f t="shared" si="2"/>
        <v>0</v>
      </c>
      <c r="U15" s="109">
        <f t="shared" si="3"/>
        <v>4105.8</v>
      </c>
    </row>
    <row r="16" spans="1:22" ht="55.5" customHeight="1" x14ac:dyDescent="0.35">
      <c r="A16" s="134">
        <v>8</v>
      </c>
      <c r="B16" s="134" t="s">
        <v>38</v>
      </c>
      <c r="C16" s="109">
        <v>5333.3699999999981</v>
      </c>
      <c r="D16" s="109">
        <v>13.71</v>
      </c>
      <c r="E16" s="109" t="e">
        <f>#REF!+braz!D16</f>
        <v>#REF!</v>
      </c>
      <c r="F16" s="109">
        <v>0</v>
      </c>
      <c r="G16" s="109" t="e">
        <f>#REF!+braz!F16</f>
        <v>#REF!</v>
      </c>
      <c r="H16" s="109">
        <f t="shared" si="0"/>
        <v>5347.0799999999981</v>
      </c>
      <c r="I16" s="109">
        <v>4</v>
      </c>
      <c r="J16" s="109">
        <v>0</v>
      </c>
      <c r="K16" s="109" t="e">
        <f>#REF!+braz!J16</f>
        <v>#REF!</v>
      </c>
      <c r="L16" s="109">
        <v>0</v>
      </c>
      <c r="M16" s="109" t="e">
        <f>#REF!+braz!L16</f>
        <v>#REF!</v>
      </c>
      <c r="N16" s="109">
        <f t="shared" si="1"/>
        <v>4</v>
      </c>
      <c r="O16" s="109">
        <v>0.03</v>
      </c>
      <c r="P16" s="109">
        <v>0</v>
      </c>
      <c r="Q16" s="109" t="e">
        <f>#REF!+braz!P16</f>
        <v>#REF!</v>
      </c>
      <c r="R16" s="109">
        <v>0</v>
      </c>
      <c r="S16" s="109" t="e">
        <f>#REF!+braz!R16</f>
        <v>#REF!</v>
      </c>
      <c r="T16" s="109">
        <f t="shared" si="2"/>
        <v>0.03</v>
      </c>
      <c r="U16" s="109">
        <f t="shared" si="3"/>
        <v>5351.1099999999979</v>
      </c>
    </row>
    <row r="17" spans="1:22" s="111" customFormat="1" ht="55.5" customHeight="1" x14ac:dyDescent="0.4">
      <c r="A17" s="134">
        <v>9</v>
      </c>
      <c r="B17" s="134" t="s">
        <v>39</v>
      </c>
      <c r="C17" s="109">
        <v>2611.6</v>
      </c>
      <c r="D17" s="109">
        <v>15.77</v>
      </c>
      <c r="E17" s="109" t="e">
        <f>#REF!+braz!D17</f>
        <v>#REF!</v>
      </c>
      <c r="F17" s="109">
        <v>0</v>
      </c>
      <c r="G17" s="109" t="e">
        <f>#REF!+braz!F17</f>
        <v>#REF!</v>
      </c>
      <c r="H17" s="109">
        <f t="shared" si="0"/>
        <v>2627.37</v>
      </c>
      <c r="I17" s="109">
        <v>155.65000000000003</v>
      </c>
      <c r="J17" s="109">
        <v>0</v>
      </c>
      <c r="K17" s="109" t="e">
        <f>#REF!+braz!J17</f>
        <v>#REF!</v>
      </c>
      <c r="L17" s="109">
        <v>0</v>
      </c>
      <c r="M17" s="109" t="e">
        <f>#REF!+braz!L17</f>
        <v>#REF!</v>
      </c>
      <c r="N17" s="109">
        <f t="shared" si="1"/>
        <v>155.65000000000003</v>
      </c>
      <c r="O17" s="109">
        <v>2.2000000000000002</v>
      </c>
      <c r="P17" s="109">
        <v>0</v>
      </c>
      <c r="Q17" s="109" t="e">
        <f>#REF!+braz!P17</f>
        <v>#REF!</v>
      </c>
      <c r="R17" s="109">
        <v>0</v>
      </c>
      <c r="S17" s="109" t="e">
        <f>#REF!+braz!R17</f>
        <v>#REF!</v>
      </c>
      <c r="T17" s="109">
        <f t="shared" si="2"/>
        <v>2.2000000000000002</v>
      </c>
      <c r="U17" s="109">
        <f t="shared" si="3"/>
        <v>2785.22</v>
      </c>
      <c r="V17" s="132"/>
    </row>
    <row r="18" spans="1:22" s="111" customFormat="1" ht="55.5" customHeight="1" x14ac:dyDescent="0.4">
      <c r="A18" s="134">
        <v>10</v>
      </c>
      <c r="B18" s="134" t="s">
        <v>40</v>
      </c>
      <c r="C18" s="109">
        <v>4571.1900000000005</v>
      </c>
      <c r="D18" s="109">
        <v>8.67</v>
      </c>
      <c r="E18" s="109" t="e">
        <f>#REF!+braz!D18</f>
        <v>#REF!</v>
      </c>
      <c r="F18" s="109">
        <v>0</v>
      </c>
      <c r="G18" s="109" t="e">
        <f>#REF!+braz!F18</f>
        <v>#REF!</v>
      </c>
      <c r="H18" s="109">
        <f t="shared" si="0"/>
        <v>4579.8600000000006</v>
      </c>
      <c r="I18" s="109">
        <v>6.92</v>
      </c>
      <c r="J18" s="109">
        <v>0</v>
      </c>
      <c r="K18" s="109" t="e">
        <f>#REF!+braz!J18</f>
        <v>#REF!</v>
      </c>
      <c r="L18" s="109">
        <v>0</v>
      </c>
      <c r="M18" s="109" t="e">
        <f>#REF!+braz!L18</f>
        <v>#REF!</v>
      </c>
      <c r="N18" s="109">
        <f t="shared" si="1"/>
        <v>6.92</v>
      </c>
      <c r="O18" s="109">
        <v>1.04</v>
      </c>
      <c r="P18" s="109">
        <v>0</v>
      </c>
      <c r="Q18" s="109" t="e">
        <f>#REF!+braz!P18</f>
        <v>#REF!</v>
      </c>
      <c r="R18" s="109">
        <v>0</v>
      </c>
      <c r="S18" s="109" t="e">
        <f>#REF!+braz!R18</f>
        <v>#REF!</v>
      </c>
      <c r="T18" s="109">
        <f t="shared" si="2"/>
        <v>1.04</v>
      </c>
      <c r="U18" s="109">
        <f t="shared" si="3"/>
        <v>4587.8200000000006</v>
      </c>
      <c r="V18" s="132"/>
    </row>
    <row r="19" spans="1:22" s="111" customFormat="1" ht="55.5" customHeight="1" x14ac:dyDescent="0.4">
      <c r="A19" s="133"/>
      <c r="B19" s="133" t="s">
        <v>41</v>
      </c>
      <c r="C19" s="110">
        <f>SUM(C15:C18)</f>
        <v>16607.829999999998</v>
      </c>
      <c r="D19" s="110">
        <f>SUM(D15:D18)</f>
        <v>44.680000000000007</v>
      </c>
      <c r="E19" s="110" t="e">
        <f>#REF!+braz!D19</f>
        <v>#REF!</v>
      </c>
      <c r="F19" s="110">
        <f>SUM(F15:F18)</f>
        <v>0</v>
      </c>
      <c r="G19" s="110" t="e">
        <f>#REF!+braz!F19</f>
        <v>#REF!</v>
      </c>
      <c r="H19" s="110">
        <f t="shared" si="0"/>
        <v>16652.509999999998</v>
      </c>
      <c r="I19" s="110">
        <f>SUM(I15:I18)</f>
        <v>174.17000000000002</v>
      </c>
      <c r="J19" s="110">
        <f>SUM(J15:J18)</f>
        <v>0</v>
      </c>
      <c r="K19" s="110" t="e">
        <f>#REF!+braz!J19</f>
        <v>#REF!</v>
      </c>
      <c r="L19" s="110">
        <f>SUM(L15:L18)</f>
        <v>0</v>
      </c>
      <c r="M19" s="110" t="e">
        <f>#REF!+braz!L19</f>
        <v>#REF!</v>
      </c>
      <c r="N19" s="110">
        <f t="shared" si="1"/>
        <v>174.17000000000002</v>
      </c>
      <c r="O19" s="110">
        <f>SUM(O15:O18)</f>
        <v>3.27</v>
      </c>
      <c r="P19" s="110">
        <f>SUM(P15:P18)</f>
        <v>0</v>
      </c>
      <c r="Q19" s="110" t="e">
        <f>#REF!+braz!P19</f>
        <v>#REF!</v>
      </c>
      <c r="R19" s="110">
        <f>SUM(R15:R18)</f>
        <v>0</v>
      </c>
      <c r="S19" s="110" t="e">
        <f>#REF!+braz!R19</f>
        <v>#REF!</v>
      </c>
      <c r="T19" s="110">
        <f t="shared" si="2"/>
        <v>3.27</v>
      </c>
      <c r="U19" s="110">
        <f t="shared" si="3"/>
        <v>16829.949999999997</v>
      </c>
    </row>
    <row r="20" spans="1:22" s="111" customFormat="1" ht="55.5" customHeight="1" x14ac:dyDescent="0.4">
      <c r="A20" s="133"/>
      <c r="B20" s="133" t="s">
        <v>42</v>
      </c>
      <c r="C20" s="110">
        <f>C19+C14+C9</f>
        <v>38345.378299999997</v>
      </c>
      <c r="D20" s="110">
        <f>D19+D14+D9</f>
        <v>140.03399999999999</v>
      </c>
      <c r="E20" s="110" t="e">
        <f>#REF!+braz!D20</f>
        <v>#REF!</v>
      </c>
      <c r="F20" s="110">
        <f>F19+F14+F9</f>
        <v>0</v>
      </c>
      <c r="G20" s="110" t="e">
        <f>#REF!+braz!F20</f>
        <v>#REF!</v>
      </c>
      <c r="H20" s="110">
        <f t="shared" si="0"/>
        <v>38485.412299999996</v>
      </c>
      <c r="I20" s="110">
        <f>I19+I14+I9</f>
        <v>992.18</v>
      </c>
      <c r="J20" s="110">
        <f>J19+J14+J9</f>
        <v>5.59</v>
      </c>
      <c r="K20" s="110" t="e">
        <f>#REF!+braz!J20</f>
        <v>#REF!</v>
      </c>
      <c r="L20" s="110">
        <f>L19+L14+L9</f>
        <v>0</v>
      </c>
      <c r="M20" s="110" t="e">
        <f>#REF!+braz!L20</f>
        <v>#REF!</v>
      </c>
      <c r="N20" s="110">
        <f t="shared" si="1"/>
        <v>997.77</v>
      </c>
      <c r="O20" s="110">
        <f>O19+O14+O9</f>
        <v>153.22000000000003</v>
      </c>
      <c r="P20" s="110">
        <f>P19+P14+P9</f>
        <v>0.04</v>
      </c>
      <c r="Q20" s="110" t="e">
        <f>#REF!+braz!P20</f>
        <v>#REF!</v>
      </c>
      <c r="R20" s="110">
        <f>R19+R14+R9</f>
        <v>0</v>
      </c>
      <c r="S20" s="110" t="e">
        <f>#REF!+braz!R20</f>
        <v>#REF!</v>
      </c>
      <c r="T20" s="110">
        <f t="shared" si="2"/>
        <v>153.26000000000002</v>
      </c>
      <c r="U20" s="110">
        <f>U19+U14+U9</f>
        <v>39636.442299999995</v>
      </c>
    </row>
    <row r="21" spans="1:22" x14ac:dyDescent="0.35">
      <c r="I21" s="131">
        <f>261.37+72.57</f>
        <v>333.94</v>
      </c>
      <c r="P21" s="107"/>
      <c r="Q21" s="107"/>
      <c r="R21" s="107"/>
      <c r="S21" s="108"/>
      <c r="T21" s="107"/>
      <c r="U21" s="107"/>
    </row>
    <row r="22" spans="1:22" x14ac:dyDescent="0.35">
      <c r="I22" s="131">
        <f>78.17+53.54</f>
        <v>131.71</v>
      </c>
      <c r="P22" s="107"/>
      <c r="Q22" s="107"/>
      <c r="R22" s="107"/>
      <c r="S22" s="108"/>
      <c r="T22" s="107"/>
      <c r="U22" s="107"/>
    </row>
  </sheetData>
  <mergeCells count="2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  <mergeCell ref="J5:K5"/>
    <mergeCell ref="L5:M5"/>
    <mergeCell ref="N5:N6"/>
    <mergeCell ref="O5:O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8"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4" zoomScaleNormal="100" workbookViewId="0">
      <selection activeCell="F8" sqref="F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99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1"/>
    </row>
    <row r="2" spans="1:22" ht="15" customHeight="1" x14ac:dyDescent="0.35">
      <c r="A2" s="195" t="s">
        <v>70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1:22" ht="32.25" customHeight="1" x14ac:dyDescent="0.3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</row>
    <row r="4" spans="1:22" s="108" customFormat="1" ht="43.5" customHeight="1" x14ac:dyDescent="0.25">
      <c r="A4" s="192" t="s">
        <v>1</v>
      </c>
      <c r="B4" s="192" t="s">
        <v>2</v>
      </c>
      <c r="C4" s="192" t="s">
        <v>3</v>
      </c>
      <c r="D4" s="192"/>
      <c r="E4" s="192"/>
      <c r="F4" s="192"/>
      <c r="G4" s="192"/>
      <c r="H4" s="192"/>
      <c r="I4" s="192" t="s">
        <v>4</v>
      </c>
      <c r="J4" s="193"/>
      <c r="K4" s="193"/>
      <c r="L4" s="193"/>
      <c r="M4" s="193"/>
      <c r="N4" s="193"/>
      <c r="O4" s="192" t="s">
        <v>5</v>
      </c>
      <c r="P4" s="193"/>
      <c r="Q4" s="193"/>
      <c r="R4" s="193"/>
      <c r="S4" s="193"/>
      <c r="T4" s="193"/>
      <c r="U4" s="136"/>
    </row>
    <row r="5" spans="1:22" s="108" customFormat="1" ht="54.75" customHeight="1" x14ac:dyDescent="0.25">
      <c r="A5" s="193"/>
      <c r="B5" s="193"/>
      <c r="C5" s="192" t="s">
        <v>6</v>
      </c>
      <c r="D5" s="192" t="s">
        <v>7</v>
      </c>
      <c r="E5" s="192"/>
      <c r="F5" s="192" t="s">
        <v>8</v>
      </c>
      <c r="G5" s="192"/>
      <c r="H5" s="197" t="s">
        <v>9</v>
      </c>
      <c r="I5" s="192" t="s">
        <v>6</v>
      </c>
      <c r="J5" s="192" t="s">
        <v>7</v>
      </c>
      <c r="K5" s="192"/>
      <c r="L5" s="192" t="s">
        <v>8</v>
      </c>
      <c r="M5" s="192"/>
      <c r="N5" s="192" t="s">
        <v>9</v>
      </c>
      <c r="O5" s="192" t="s">
        <v>6</v>
      </c>
      <c r="P5" s="192" t="s">
        <v>7</v>
      </c>
      <c r="Q5" s="192"/>
      <c r="R5" s="192" t="s">
        <v>8</v>
      </c>
      <c r="S5" s="192"/>
      <c r="T5" s="192" t="s">
        <v>9</v>
      </c>
      <c r="U5" s="192" t="s">
        <v>10</v>
      </c>
    </row>
    <row r="6" spans="1:22" s="108" customFormat="1" ht="38.25" customHeight="1" x14ac:dyDescent="0.25">
      <c r="A6" s="193"/>
      <c r="B6" s="193"/>
      <c r="C6" s="193"/>
      <c r="D6" s="135" t="s">
        <v>11</v>
      </c>
      <c r="E6" s="135" t="s">
        <v>12</v>
      </c>
      <c r="F6" s="135" t="s">
        <v>11</v>
      </c>
      <c r="G6" s="135" t="s">
        <v>12</v>
      </c>
      <c r="H6" s="198"/>
      <c r="I6" s="193"/>
      <c r="J6" s="135" t="s">
        <v>11</v>
      </c>
      <c r="K6" s="135" t="s">
        <v>12</v>
      </c>
      <c r="L6" s="135" t="s">
        <v>11</v>
      </c>
      <c r="M6" s="135" t="s">
        <v>12</v>
      </c>
      <c r="N6" s="192"/>
      <c r="O6" s="193"/>
      <c r="P6" s="135" t="s">
        <v>11</v>
      </c>
      <c r="Q6" s="135" t="s">
        <v>12</v>
      </c>
      <c r="R6" s="135" t="s">
        <v>11</v>
      </c>
      <c r="S6" s="135" t="s">
        <v>12</v>
      </c>
      <c r="T6" s="192"/>
      <c r="U6" s="192"/>
    </row>
    <row r="7" spans="1:22" ht="86.25" customHeight="1" x14ac:dyDescent="0.35">
      <c r="A7" s="136">
        <v>1</v>
      </c>
      <c r="B7" s="136" t="s">
        <v>30</v>
      </c>
      <c r="C7" s="139">
        <v>6879.2699999999995</v>
      </c>
      <c r="D7" s="139">
        <v>24.08</v>
      </c>
      <c r="E7" s="139" t="e">
        <f>#REF!+brc!D7</f>
        <v>#REF!</v>
      </c>
      <c r="F7" s="139">
        <v>0</v>
      </c>
      <c r="G7" s="139" t="e">
        <f>#REF!+brc!F7</f>
        <v>#REF!</v>
      </c>
      <c r="H7" s="139">
        <f>C7+(D7-F7)</f>
        <v>6903.3499999999995</v>
      </c>
      <c r="I7" s="139">
        <v>58.64</v>
      </c>
      <c r="J7" s="139">
        <v>0</v>
      </c>
      <c r="K7" s="139" t="e">
        <f>#REF!+brc!J7</f>
        <v>#REF!</v>
      </c>
      <c r="L7" s="139">
        <v>0</v>
      </c>
      <c r="M7" s="139" t="e">
        <f>#REF!+brc!L7</f>
        <v>#REF!</v>
      </c>
      <c r="N7" s="139">
        <f>I7+(J7-L7)</f>
        <v>58.64</v>
      </c>
      <c r="O7" s="139">
        <v>0</v>
      </c>
      <c r="P7" s="139">
        <v>0</v>
      </c>
      <c r="Q7" s="139" t="e">
        <f>#REF!+brc!P7</f>
        <v>#REF!</v>
      </c>
      <c r="R7" s="139">
        <v>0</v>
      </c>
      <c r="S7" s="139" t="e">
        <f>#REF!+brc!R7</f>
        <v>#REF!</v>
      </c>
      <c r="T7" s="139">
        <f>O7+(P7-R7)</f>
        <v>0</v>
      </c>
      <c r="U7" s="139">
        <f>H7+N7+T7</f>
        <v>6961.99</v>
      </c>
    </row>
    <row r="8" spans="1:22" s="111" customFormat="1" ht="86.25" customHeight="1" x14ac:dyDescent="0.4">
      <c r="A8" s="136">
        <v>2</v>
      </c>
      <c r="B8" s="136" t="s">
        <v>31</v>
      </c>
      <c r="C8" s="139">
        <v>4890.3000000000011</v>
      </c>
      <c r="D8" s="139">
        <v>7.81</v>
      </c>
      <c r="E8" s="139" t="e">
        <f>#REF!+brc!D8</f>
        <v>#REF!</v>
      </c>
      <c r="F8" s="139">
        <v>0</v>
      </c>
      <c r="G8" s="139" t="e">
        <f>#REF!+brc!F8</f>
        <v>#REF!</v>
      </c>
      <c r="H8" s="139">
        <f>C8+(D8-F8)</f>
        <v>4898.1100000000015</v>
      </c>
      <c r="I8" s="139">
        <v>512.21799999999996</v>
      </c>
      <c r="J8" s="139">
        <v>0.03</v>
      </c>
      <c r="K8" s="139" t="e">
        <f>#REF!+brc!J8</f>
        <v>#REF!</v>
      </c>
      <c r="L8" s="139">
        <v>0</v>
      </c>
      <c r="M8" s="139" t="e">
        <f>#REF!+brc!L8</f>
        <v>#REF!</v>
      </c>
      <c r="N8" s="139">
        <f>I8+(J8-L8)</f>
        <v>512.24799999999993</v>
      </c>
      <c r="O8" s="139">
        <v>3.0000000000000004</v>
      </c>
      <c r="P8" s="139">
        <v>0.04</v>
      </c>
      <c r="Q8" s="139" t="e">
        <f>#REF!+brc!P8</f>
        <v>#REF!</v>
      </c>
      <c r="R8" s="139">
        <v>0</v>
      </c>
      <c r="S8" s="139" t="e">
        <f>#REF!+brc!R8</f>
        <v>#REF!</v>
      </c>
      <c r="T8" s="139">
        <f>O8+(P8-R8)</f>
        <v>3.0400000000000005</v>
      </c>
      <c r="U8" s="139">
        <f>H8+N8+T8</f>
        <v>5413.398000000001</v>
      </c>
      <c r="V8" s="137"/>
    </row>
    <row r="9" spans="1:22" s="111" customFormat="1" ht="86.25" customHeight="1" x14ac:dyDescent="0.4">
      <c r="A9" s="135"/>
      <c r="B9" s="135" t="s">
        <v>32</v>
      </c>
      <c r="C9" s="110">
        <f>SUM(C7:C8)</f>
        <v>11769.57</v>
      </c>
      <c r="D9" s="110">
        <f>D8+D7</f>
        <v>31.889999999999997</v>
      </c>
      <c r="E9" s="110" t="e">
        <f>#REF!+brc!D9</f>
        <v>#REF!</v>
      </c>
      <c r="F9" s="110">
        <f>F8+F7</f>
        <v>0</v>
      </c>
      <c r="G9" s="110" t="e">
        <f>#REF!+brc!F9</f>
        <v>#REF!</v>
      </c>
      <c r="H9" s="110">
        <f>C9+(D9-F9)</f>
        <v>11801.46</v>
      </c>
      <c r="I9" s="110">
        <f>SUM(I7:I8)</f>
        <v>570.85799999999995</v>
      </c>
      <c r="J9" s="110">
        <f>J8+J7</f>
        <v>0.03</v>
      </c>
      <c r="K9" s="110" t="e">
        <f>#REF!+brc!J9</f>
        <v>#REF!</v>
      </c>
      <c r="L9" s="110">
        <f>L8+L7</f>
        <v>0</v>
      </c>
      <c r="M9" s="110" t="e">
        <f>#REF!+brc!L9</f>
        <v>#REF!</v>
      </c>
      <c r="N9" s="110">
        <f>I9+(J9-L9)</f>
        <v>570.88799999999992</v>
      </c>
      <c r="O9" s="110">
        <f>SUM(O7:O8)</f>
        <v>3.0000000000000004</v>
      </c>
      <c r="P9" s="110">
        <f>P8+P7</f>
        <v>0.04</v>
      </c>
      <c r="Q9" s="110" t="e">
        <f>#REF!+brc!P9</f>
        <v>#REF!</v>
      </c>
      <c r="R9" s="110">
        <f>R8+R7</f>
        <v>0</v>
      </c>
      <c r="S9" s="110" t="e">
        <f>#REF!+brc!R9</f>
        <v>#REF!</v>
      </c>
      <c r="T9" s="110">
        <f>O9+(P9-R9)</f>
        <v>3.0400000000000005</v>
      </c>
      <c r="U9" s="110">
        <f>H9+N9+T9</f>
        <v>12375.387999999999</v>
      </c>
    </row>
    <row r="10" spans="1:22" ht="24" customHeight="1" x14ac:dyDescent="0.35">
      <c r="J10" s="188" t="s">
        <v>61</v>
      </c>
      <c r="K10" s="188"/>
      <c r="L10" s="188"/>
    </row>
    <row r="11" spans="1:22" ht="26.25" x14ac:dyDescent="0.35">
      <c r="G11" s="119"/>
      <c r="J11" s="188" t="s">
        <v>62</v>
      </c>
      <c r="K11" s="188"/>
      <c r="L11" s="188"/>
    </row>
    <row r="14" spans="1:22" x14ac:dyDescent="0.35">
      <c r="C14" s="119"/>
    </row>
    <row r="15" spans="1:22" x14ac:dyDescent="0.35">
      <c r="H15" s="130"/>
      <c r="I15" s="131"/>
      <c r="J15" s="130"/>
    </row>
    <row r="16" spans="1:22" x14ac:dyDescent="0.35">
      <c r="H16" s="130"/>
      <c r="I16" s="131"/>
      <c r="J16" s="130"/>
    </row>
    <row r="17" spans="8:21" x14ac:dyDescent="0.35">
      <c r="H17" s="125">
        <f>'[2]nov 17'!J53+'[2]dec 17'!J51</f>
        <v>98988.2883</v>
      </c>
      <c r="I17" s="131"/>
      <c r="J17" s="130"/>
    </row>
    <row r="18" spans="8:21" x14ac:dyDescent="0.35">
      <c r="H18" s="130"/>
      <c r="I18" s="131"/>
      <c r="J18" s="130"/>
    </row>
    <row r="19" spans="8:21" x14ac:dyDescent="0.35">
      <c r="H19" s="130"/>
      <c r="I19" s="131"/>
      <c r="J19" s="130"/>
    </row>
    <row r="20" spans="8:21" x14ac:dyDescent="0.35">
      <c r="I20" s="12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29">
        <f>78.17+53.54</f>
        <v>131.71</v>
      </c>
      <c r="P21" s="107"/>
      <c r="Q21" s="107"/>
      <c r="R21" s="107"/>
      <c r="S21" s="108"/>
      <c r="T21" s="107"/>
      <c r="U21" s="107"/>
    </row>
  </sheetData>
  <mergeCells count="22">
    <mergeCell ref="J11:L11"/>
    <mergeCell ref="J5:K5"/>
    <mergeCell ref="L5:M5"/>
    <mergeCell ref="N5:N6"/>
    <mergeCell ref="O5:O6"/>
    <mergeCell ref="J10:L10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view="pageBreakPreview" topLeftCell="I1" zoomScale="60" zoomScaleNormal="100" workbookViewId="0">
      <selection activeCell="H8" sqref="H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6.710937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99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1"/>
    </row>
    <row r="2" spans="1:22" ht="15" customHeight="1" x14ac:dyDescent="0.35">
      <c r="A2" s="195" t="s">
        <v>70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1:22" ht="32.25" customHeight="1" x14ac:dyDescent="0.3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</row>
    <row r="4" spans="1:22" s="108" customFormat="1" ht="43.5" customHeight="1" x14ac:dyDescent="0.25">
      <c r="A4" s="192" t="s">
        <v>1</v>
      </c>
      <c r="B4" s="192" t="s">
        <v>2</v>
      </c>
      <c r="C4" s="192" t="s">
        <v>3</v>
      </c>
      <c r="D4" s="192"/>
      <c r="E4" s="192"/>
      <c r="F4" s="192"/>
      <c r="G4" s="192"/>
      <c r="H4" s="192"/>
      <c r="I4" s="192" t="s">
        <v>4</v>
      </c>
      <c r="J4" s="193"/>
      <c r="K4" s="193"/>
      <c r="L4" s="193"/>
      <c r="M4" s="193"/>
      <c r="N4" s="193"/>
      <c r="O4" s="192" t="s">
        <v>5</v>
      </c>
      <c r="P4" s="193"/>
      <c r="Q4" s="193"/>
      <c r="R4" s="193"/>
      <c r="S4" s="193"/>
      <c r="T4" s="193"/>
      <c r="U4" s="136"/>
    </row>
    <row r="5" spans="1:22" s="108" customFormat="1" ht="54.75" customHeight="1" x14ac:dyDescent="0.25">
      <c r="A5" s="193"/>
      <c r="B5" s="193"/>
      <c r="C5" s="192" t="s">
        <v>6</v>
      </c>
      <c r="D5" s="192" t="s">
        <v>7</v>
      </c>
      <c r="E5" s="192"/>
      <c r="F5" s="192" t="s">
        <v>8</v>
      </c>
      <c r="G5" s="192"/>
      <c r="H5" s="197" t="s">
        <v>9</v>
      </c>
      <c r="I5" s="192" t="s">
        <v>6</v>
      </c>
      <c r="J5" s="192" t="s">
        <v>7</v>
      </c>
      <c r="K5" s="192"/>
      <c r="L5" s="192" t="s">
        <v>8</v>
      </c>
      <c r="M5" s="192"/>
      <c r="N5" s="192" t="s">
        <v>9</v>
      </c>
      <c r="O5" s="192" t="s">
        <v>6</v>
      </c>
      <c r="P5" s="192" t="s">
        <v>7</v>
      </c>
      <c r="Q5" s="192"/>
      <c r="R5" s="192" t="s">
        <v>8</v>
      </c>
      <c r="S5" s="192"/>
      <c r="T5" s="192" t="s">
        <v>9</v>
      </c>
      <c r="U5" s="192" t="s">
        <v>10</v>
      </c>
    </row>
    <row r="6" spans="1:22" s="108" customFormat="1" ht="38.25" customHeight="1" x14ac:dyDescent="0.25">
      <c r="A6" s="193"/>
      <c r="B6" s="193"/>
      <c r="C6" s="193"/>
      <c r="D6" s="135" t="s">
        <v>11</v>
      </c>
      <c r="E6" s="135" t="s">
        <v>12</v>
      </c>
      <c r="F6" s="135" t="s">
        <v>11</v>
      </c>
      <c r="G6" s="135" t="s">
        <v>12</v>
      </c>
      <c r="H6" s="198"/>
      <c r="I6" s="193"/>
      <c r="J6" s="135" t="s">
        <v>11</v>
      </c>
      <c r="K6" s="135" t="s">
        <v>12</v>
      </c>
      <c r="L6" s="135" t="s">
        <v>11</v>
      </c>
      <c r="M6" s="135" t="s">
        <v>12</v>
      </c>
      <c r="N6" s="192"/>
      <c r="O6" s="193"/>
      <c r="P6" s="135" t="s">
        <v>11</v>
      </c>
      <c r="Q6" s="135" t="s">
        <v>12</v>
      </c>
      <c r="R6" s="135" t="s">
        <v>11</v>
      </c>
      <c r="S6" s="135" t="s">
        <v>12</v>
      </c>
      <c r="T6" s="192"/>
      <c r="U6" s="192"/>
    </row>
    <row r="7" spans="1:22" ht="123" customHeight="1" x14ac:dyDescent="0.35">
      <c r="A7" s="136">
        <v>1</v>
      </c>
      <c r="B7" s="138" t="s">
        <v>37</v>
      </c>
      <c r="C7" s="139">
        <v>4091.67</v>
      </c>
      <c r="D7" s="139">
        <v>6.53</v>
      </c>
      <c r="E7" s="139" t="e">
        <f>#REF!+kolar!D7</f>
        <v>#REF!</v>
      </c>
      <c r="F7" s="139">
        <v>0</v>
      </c>
      <c r="G7" s="139" t="e">
        <f>#REF!+kolar!F7</f>
        <v>#REF!</v>
      </c>
      <c r="H7" s="139">
        <f>C7+(D7-F7)</f>
        <v>4098.2</v>
      </c>
      <c r="I7" s="139">
        <v>7.6</v>
      </c>
      <c r="J7" s="139">
        <v>0</v>
      </c>
      <c r="K7" s="139" t="e">
        <f>#REF!+kolar!J7</f>
        <v>#REF!</v>
      </c>
      <c r="L7" s="139">
        <v>0</v>
      </c>
      <c r="M7" s="139" t="e">
        <f>#REF!+kolar!L7</f>
        <v>#REF!</v>
      </c>
      <c r="N7" s="139">
        <f>I7+(J7-L7)</f>
        <v>7.6</v>
      </c>
      <c r="O7" s="139">
        <v>0</v>
      </c>
      <c r="P7" s="139">
        <v>0</v>
      </c>
      <c r="Q7" s="139" t="e">
        <f>#REF!+kolar!P7</f>
        <v>#REF!</v>
      </c>
      <c r="R7" s="139">
        <v>0</v>
      </c>
      <c r="S7" s="139" t="e">
        <f>#REF!+kolar!R7</f>
        <v>#REF!</v>
      </c>
      <c r="T7" s="139">
        <f>O7+(P7-R7)</f>
        <v>0</v>
      </c>
      <c r="U7" s="139">
        <f>H7+N7+T7</f>
        <v>4105.8</v>
      </c>
    </row>
    <row r="8" spans="1:22" ht="123" customHeight="1" x14ac:dyDescent="0.35">
      <c r="A8" s="136">
        <v>2</v>
      </c>
      <c r="B8" s="138" t="s">
        <v>38</v>
      </c>
      <c r="C8" s="139">
        <v>5333.3699999999981</v>
      </c>
      <c r="D8" s="139">
        <v>13.71</v>
      </c>
      <c r="E8" s="139" t="e">
        <f>#REF!+kolar!D8</f>
        <v>#REF!</v>
      </c>
      <c r="F8" s="139">
        <v>0</v>
      </c>
      <c r="G8" s="139" t="e">
        <f>#REF!+kolar!F8</f>
        <v>#REF!</v>
      </c>
      <c r="H8" s="139">
        <f>C8+(D8-F8)</f>
        <v>5347.0799999999981</v>
      </c>
      <c r="I8" s="139">
        <v>4</v>
      </c>
      <c r="J8" s="139">
        <v>0</v>
      </c>
      <c r="K8" s="139" t="e">
        <f>#REF!+kolar!J8</f>
        <v>#REF!</v>
      </c>
      <c r="L8" s="139">
        <v>0</v>
      </c>
      <c r="M8" s="139" t="e">
        <f>#REF!+kolar!L8</f>
        <v>#REF!</v>
      </c>
      <c r="N8" s="139">
        <f>I8+(J8-L8)</f>
        <v>4</v>
      </c>
      <c r="O8" s="139">
        <v>0.03</v>
      </c>
      <c r="P8" s="139">
        <v>0</v>
      </c>
      <c r="Q8" s="139" t="e">
        <f>#REF!+kolar!P8</f>
        <v>#REF!</v>
      </c>
      <c r="R8" s="139">
        <v>0</v>
      </c>
      <c r="S8" s="139" t="e">
        <f>#REF!+kolar!R8</f>
        <v>#REF!</v>
      </c>
      <c r="T8" s="139">
        <f>O8+(P8-R8)</f>
        <v>0.03</v>
      </c>
      <c r="U8" s="139">
        <f>H8+N8+T8</f>
        <v>5351.1099999999979</v>
      </c>
    </row>
    <row r="9" spans="1:22" s="111" customFormat="1" ht="123" customHeight="1" x14ac:dyDescent="0.4">
      <c r="A9" s="136">
        <v>3</v>
      </c>
      <c r="B9" s="138" t="s">
        <v>39</v>
      </c>
      <c r="C9" s="139">
        <v>2611.6</v>
      </c>
      <c r="D9" s="139">
        <v>15.77</v>
      </c>
      <c r="E9" s="139" t="e">
        <f>#REF!+kolar!D9</f>
        <v>#REF!</v>
      </c>
      <c r="F9" s="139">
        <v>0</v>
      </c>
      <c r="G9" s="139" t="e">
        <f>#REF!+kolar!F9</f>
        <v>#REF!</v>
      </c>
      <c r="H9" s="139">
        <f>C9+(D9-F9)</f>
        <v>2627.37</v>
      </c>
      <c r="I9" s="139">
        <v>155.65000000000003</v>
      </c>
      <c r="J9" s="139">
        <v>0</v>
      </c>
      <c r="K9" s="139" t="e">
        <f>#REF!+kolar!J9</f>
        <v>#REF!</v>
      </c>
      <c r="L9" s="139">
        <v>0</v>
      </c>
      <c r="M9" s="139" t="e">
        <f>#REF!+kolar!L9</f>
        <v>#REF!</v>
      </c>
      <c r="N9" s="139">
        <f>I9+(J9-L9)</f>
        <v>155.65000000000003</v>
      </c>
      <c r="O9" s="139">
        <v>2.2000000000000002</v>
      </c>
      <c r="P9" s="139">
        <v>0</v>
      </c>
      <c r="Q9" s="139" t="e">
        <f>#REF!+kolar!P9</f>
        <v>#REF!</v>
      </c>
      <c r="R9" s="139">
        <v>0</v>
      </c>
      <c r="S9" s="139" t="e">
        <f>#REF!+kolar!R9</f>
        <v>#REF!</v>
      </c>
      <c r="T9" s="139">
        <f>O9+(P9-R9)</f>
        <v>2.2000000000000002</v>
      </c>
      <c r="U9" s="139">
        <f>H9+N9+T9</f>
        <v>2785.22</v>
      </c>
      <c r="V9" s="137"/>
    </row>
    <row r="10" spans="1:22" s="111" customFormat="1" ht="123" customHeight="1" x14ac:dyDescent="0.4">
      <c r="A10" s="136">
        <v>4</v>
      </c>
      <c r="B10" s="138" t="s">
        <v>40</v>
      </c>
      <c r="C10" s="139">
        <v>4571.1900000000005</v>
      </c>
      <c r="D10" s="139">
        <v>8.67</v>
      </c>
      <c r="E10" s="139" t="e">
        <f>#REF!+kolar!D10</f>
        <v>#REF!</v>
      </c>
      <c r="F10" s="139">
        <v>0</v>
      </c>
      <c r="G10" s="139" t="e">
        <f>#REF!+kolar!F10</f>
        <v>#REF!</v>
      </c>
      <c r="H10" s="139">
        <f>C10+(D10-F10)</f>
        <v>4579.8600000000006</v>
      </c>
      <c r="I10" s="139">
        <v>6.92</v>
      </c>
      <c r="J10" s="139">
        <v>0</v>
      </c>
      <c r="K10" s="139" t="e">
        <f>#REF!+kolar!J10</f>
        <v>#REF!</v>
      </c>
      <c r="L10" s="139">
        <v>0</v>
      </c>
      <c r="M10" s="139" t="e">
        <f>#REF!+kolar!L10</f>
        <v>#REF!</v>
      </c>
      <c r="N10" s="139">
        <f>I10+(J10-L10)</f>
        <v>6.92</v>
      </c>
      <c r="O10" s="139">
        <v>1.04</v>
      </c>
      <c r="P10" s="139">
        <v>0</v>
      </c>
      <c r="Q10" s="139" t="e">
        <f>#REF!+kolar!P10</f>
        <v>#REF!</v>
      </c>
      <c r="R10" s="139">
        <v>0</v>
      </c>
      <c r="S10" s="139" t="e">
        <f>#REF!+kolar!R10</f>
        <v>#REF!</v>
      </c>
      <c r="T10" s="139">
        <f>O10+(P10-R10)</f>
        <v>1.04</v>
      </c>
      <c r="U10" s="139">
        <f>H10+N10+T10</f>
        <v>4587.8200000000006</v>
      </c>
      <c r="V10" s="137"/>
    </row>
    <row r="11" spans="1:22" s="111" customFormat="1" ht="123" customHeight="1" x14ac:dyDescent="0.4">
      <c r="A11" s="135"/>
      <c r="B11" s="140" t="s">
        <v>41</v>
      </c>
      <c r="C11" s="141">
        <f>SUM(C7:C10)</f>
        <v>16607.829999999998</v>
      </c>
      <c r="D11" s="141">
        <f>SUM(D7:D10)</f>
        <v>44.680000000000007</v>
      </c>
      <c r="E11" s="141" t="e">
        <f>#REF!+kolar!D11</f>
        <v>#REF!</v>
      </c>
      <c r="F11" s="141">
        <f>SUM(F7:F10)</f>
        <v>0</v>
      </c>
      <c r="G11" s="141" t="e">
        <f>#REF!+kolar!F11</f>
        <v>#REF!</v>
      </c>
      <c r="H11" s="141">
        <f>C11+(D11-F11)</f>
        <v>16652.509999999998</v>
      </c>
      <c r="I11" s="141">
        <f>SUM(I7:I10)</f>
        <v>174.17000000000002</v>
      </c>
      <c r="J11" s="141">
        <f>SUM(J7:J10)</f>
        <v>0</v>
      </c>
      <c r="K11" s="141" t="e">
        <f>#REF!+kolar!J11</f>
        <v>#REF!</v>
      </c>
      <c r="L11" s="141">
        <f>SUM(L7:L10)</f>
        <v>0</v>
      </c>
      <c r="M11" s="141" t="e">
        <f>#REF!+kolar!L11</f>
        <v>#REF!</v>
      </c>
      <c r="N11" s="141">
        <f>I11+(J11-L11)</f>
        <v>174.17000000000002</v>
      </c>
      <c r="O11" s="141">
        <f>SUM(O7:O10)</f>
        <v>3.27</v>
      </c>
      <c r="P11" s="141">
        <f>SUM(P7:P10)</f>
        <v>0</v>
      </c>
      <c r="Q11" s="141" t="e">
        <f>#REF!+kolar!P11</f>
        <v>#REF!</v>
      </c>
      <c r="R11" s="141">
        <f>SUM(R7:R10)</f>
        <v>0</v>
      </c>
      <c r="S11" s="141" t="e">
        <f>#REF!+kolar!R11</f>
        <v>#REF!</v>
      </c>
      <c r="T11" s="141">
        <f>O11+(P11-R11)</f>
        <v>3.27</v>
      </c>
      <c r="U11" s="141">
        <f>H11+N11+T11</f>
        <v>16829.949999999997</v>
      </c>
    </row>
  </sheetData>
  <mergeCells count="20">
    <mergeCell ref="T5:T6"/>
    <mergeCell ref="U5:U6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10" zoomScaleNormal="100" workbookViewId="0">
      <selection activeCell="C7" sqref="C7:U11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99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1"/>
    </row>
    <row r="2" spans="1:22" ht="15" customHeight="1" x14ac:dyDescent="0.35">
      <c r="A2" s="195" t="s">
        <v>70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1:22" ht="32.25" customHeight="1" x14ac:dyDescent="0.3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</row>
    <row r="4" spans="1:22" s="108" customFormat="1" ht="43.5" customHeight="1" x14ac:dyDescent="0.25">
      <c r="A4" s="192" t="s">
        <v>1</v>
      </c>
      <c r="B4" s="192" t="s">
        <v>2</v>
      </c>
      <c r="C4" s="192" t="s">
        <v>3</v>
      </c>
      <c r="D4" s="192"/>
      <c r="E4" s="192"/>
      <c r="F4" s="192"/>
      <c r="G4" s="192"/>
      <c r="H4" s="192"/>
      <c r="I4" s="192" t="s">
        <v>4</v>
      </c>
      <c r="J4" s="193"/>
      <c r="K4" s="193"/>
      <c r="L4" s="193"/>
      <c r="M4" s="193"/>
      <c r="N4" s="193"/>
      <c r="O4" s="192" t="s">
        <v>5</v>
      </c>
      <c r="P4" s="193"/>
      <c r="Q4" s="193"/>
      <c r="R4" s="193"/>
      <c r="S4" s="193"/>
      <c r="T4" s="193"/>
      <c r="U4" s="136"/>
    </row>
    <row r="5" spans="1:22" s="108" customFormat="1" ht="54.75" customHeight="1" x14ac:dyDescent="0.25">
      <c r="A5" s="193"/>
      <c r="B5" s="193"/>
      <c r="C5" s="192" t="s">
        <v>6</v>
      </c>
      <c r="D5" s="192" t="s">
        <v>7</v>
      </c>
      <c r="E5" s="192"/>
      <c r="F5" s="192" t="s">
        <v>8</v>
      </c>
      <c r="G5" s="192"/>
      <c r="H5" s="197" t="s">
        <v>9</v>
      </c>
      <c r="I5" s="192" t="s">
        <v>6</v>
      </c>
      <c r="J5" s="192" t="s">
        <v>7</v>
      </c>
      <c r="K5" s="192"/>
      <c r="L5" s="192" t="s">
        <v>8</v>
      </c>
      <c r="M5" s="192"/>
      <c r="N5" s="192" t="s">
        <v>9</v>
      </c>
      <c r="O5" s="192" t="s">
        <v>6</v>
      </c>
      <c r="P5" s="192" t="s">
        <v>7</v>
      </c>
      <c r="Q5" s="192"/>
      <c r="R5" s="192" t="s">
        <v>8</v>
      </c>
      <c r="S5" s="192"/>
      <c r="T5" s="192" t="s">
        <v>9</v>
      </c>
      <c r="U5" s="192" t="s">
        <v>10</v>
      </c>
    </row>
    <row r="6" spans="1:22" s="108" customFormat="1" ht="38.25" customHeight="1" x14ac:dyDescent="0.25">
      <c r="A6" s="193"/>
      <c r="B6" s="193"/>
      <c r="C6" s="193"/>
      <c r="D6" s="135" t="s">
        <v>11</v>
      </c>
      <c r="E6" s="135" t="s">
        <v>12</v>
      </c>
      <c r="F6" s="135" t="s">
        <v>11</v>
      </c>
      <c r="G6" s="135" t="s">
        <v>12</v>
      </c>
      <c r="H6" s="198"/>
      <c r="I6" s="193"/>
      <c r="J6" s="135" t="s">
        <v>11</v>
      </c>
      <c r="K6" s="135" t="s">
        <v>12</v>
      </c>
      <c r="L6" s="135" t="s">
        <v>11</v>
      </c>
      <c r="M6" s="135" t="s">
        <v>12</v>
      </c>
      <c r="N6" s="192"/>
      <c r="O6" s="193"/>
      <c r="P6" s="135" t="s">
        <v>11</v>
      </c>
      <c r="Q6" s="135" t="s">
        <v>12</v>
      </c>
      <c r="R6" s="135" t="s">
        <v>11</v>
      </c>
      <c r="S6" s="135" t="s">
        <v>12</v>
      </c>
      <c r="T6" s="192"/>
      <c r="U6" s="192"/>
    </row>
    <row r="7" spans="1:22" ht="99.75" customHeight="1" x14ac:dyDescent="0.35">
      <c r="A7" s="136">
        <v>1</v>
      </c>
      <c r="B7" s="136" t="s">
        <v>33</v>
      </c>
      <c r="C7" s="139">
        <v>3543.9629999999997</v>
      </c>
      <c r="D7" s="139">
        <v>45.25</v>
      </c>
      <c r="E7" s="139" t="e">
        <f>#REF!+ramanagr!D7</f>
        <v>#REF!</v>
      </c>
      <c r="F7" s="139">
        <v>0</v>
      </c>
      <c r="G7" s="139" t="e">
        <f>#REF!+ramanagr!F7</f>
        <v>#REF!</v>
      </c>
      <c r="H7" s="139">
        <f>C7+(D7-F7)</f>
        <v>3589.2129999999997</v>
      </c>
      <c r="I7" s="139">
        <v>52.24</v>
      </c>
      <c r="J7" s="139">
        <v>0</v>
      </c>
      <c r="K7" s="139" t="e">
        <f>#REF!+ramanagr!J7</f>
        <v>#REF!</v>
      </c>
      <c r="L7" s="139">
        <v>0</v>
      </c>
      <c r="M7" s="139" t="e">
        <f>#REF!+ramanagr!L7</f>
        <v>#REF!</v>
      </c>
      <c r="N7" s="139">
        <f>I7+(J7-L7)</f>
        <v>52.24</v>
      </c>
      <c r="O7" s="139">
        <v>56.250000000000007</v>
      </c>
      <c r="P7" s="139">
        <v>0</v>
      </c>
      <c r="Q7" s="139" t="e">
        <f>#REF!+ramanagr!P7</f>
        <v>#REF!</v>
      </c>
      <c r="R7" s="139">
        <v>0</v>
      </c>
      <c r="S7" s="139" t="e">
        <f>#REF!+ramanagr!R7</f>
        <v>#REF!</v>
      </c>
      <c r="T7" s="139">
        <f>O7+(P7-R7)</f>
        <v>56.250000000000007</v>
      </c>
      <c r="U7" s="139">
        <f>H7+N7+T7</f>
        <v>3697.7029999999995</v>
      </c>
    </row>
    <row r="8" spans="1:22" ht="99.75" customHeight="1" x14ac:dyDescent="0.35">
      <c r="A8" s="136">
        <v>2</v>
      </c>
      <c r="B8" s="136" t="s">
        <v>64</v>
      </c>
      <c r="C8" s="139">
        <v>213.87100000000001</v>
      </c>
      <c r="D8" s="139">
        <v>4.7439999999999998</v>
      </c>
      <c r="E8" s="139" t="e">
        <f>#REF!+ramanagr!D8</f>
        <v>#REF!</v>
      </c>
      <c r="F8" s="139">
        <v>0</v>
      </c>
      <c r="G8" s="139" t="e">
        <f>#REF!+ramanagr!F8</f>
        <v>#REF!</v>
      </c>
      <c r="H8" s="139">
        <f>C8+(D8-F8)</f>
        <v>218.61500000000001</v>
      </c>
      <c r="I8" s="139">
        <v>10.198</v>
      </c>
      <c r="J8" s="139">
        <v>5.5</v>
      </c>
      <c r="K8" s="139" t="e">
        <f>#REF!+ramanagr!J8</f>
        <v>#REF!</v>
      </c>
      <c r="L8" s="139">
        <v>0</v>
      </c>
      <c r="M8" s="139" t="e">
        <f>#REF!+ramanagr!L8</f>
        <v>#REF!</v>
      </c>
      <c r="N8" s="139">
        <f>I8+(J8-L8)</f>
        <v>15.698</v>
      </c>
      <c r="O8" s="139">
        <v>0</v>
      </c>
      <c r="P8" s="139">
        <v>0</v>
      </c>
      <c r="Q8" s="139" t="e">
        <f>#REF!+ramanagr!P8</f>
        <v>#REF!</v>
      </c>
      <c r="R8" s="139">
        <v>0</v>
      </c>
      <c r="S8" s="139" t="e">
        <f>#REF!+ramanagr!R8</f>
        <v>#REF!</v>
      </c>
      <c r="T8" s="139">
        <f>O8+(P8-R8)</f>
        <v>0</v>
      </c>
      <c r="U8" s="139">
        <f>H8+N8+T8</f>
        <v>234.31300000000002</v>
      </c>
    </row>
    <row r="9" spans="1:22" s="111" customFormat="1" ht="99.75" customHeight="1" x14ac:dyDescent="0.4">
      <c r="A9" s="136">
        <v>3</v>
      </c>
      <c r="B9" s="136" t="s">
        <v>34</v>
      </c>
      <c r="C9" s="139">
        <v>3826.6110000000003</v>
      </c>
      <c r="D9" s="139">
        <v>3.26</v>
      </c>
      <c r="E9" s="139" t="e">
        <f>#REF!+ramanagr!D9</f>
        <v>#REF!</v>
      </c>
      <c r="F9" s="139">
        <v>0</v>
      </c>
      <c r="G9" s="139" t="e">
        <f>#REF!+ramanagr!F9</f>
        <v>#REF!</v>
      </c>
      <c r="H9" s="139">
        <f>C9+(D9-F9)</f>
        <v>3829.8710000000005</v>
      </c>
      <c r="I9" s="139">
        <v>41.210000000000008</v>
      </c>
      <c r="J9" s="139">
        <v>0</v>
      </c>
      <c r="K9" s="139" t="e">
        <f>#REF!+ramanagr!J9</f>
        <v>#REF!</v>
      </c>
      <c r="L9" s="139">
        <v>0</v>
      </c>
      <c r="M9" s="139" t="e">
        <f>#REF!+ramanagr!L9</f>
        <v>#REF!</v>
      </c>
      <c r="N9" s="139">
        <f>I9+(J9-L9)</f>
        <v>41.210000000000008</v>
      </c>
      <c r="O9" s="139">
        <v>72.55</v>
      </c>
      <c r="P9" s="139">
        <v>0</v>
      </c>
      <c r="Q9" s="139" t="e">
        <f>#REF!+ramanagr!P9</f>
        <v>#REF!</v>
      </c>
      <c r="R9" s="139">
        <v>0</v>
      </c>
      <c r="S9" s="139" t="e">
        <f>#REF!+ramanagr!R9</f>
        <v>#REF!</v>
      </c>
      <c r="T9" s="139">
        <f>O9+(P9-R9)</f>
        <v>72.55</v>
      </c>
      <c r="U9" s="139">
        <f>H9+N9+T9</f>
        <v>3943.6310000000008</v>
      </c>
      <c r="V9" s="137"/>
    </row>
    <row r="10" spans="1:22" ht="99.75" customHeight="1" x14ac:dyDescent="0.35">
      <c r="A10" s="136">
        <v>4</v>
      </c>
      <c r="B10" s="136" t="s">
        <v>35</v>
      </c>
      <c r="C10" s="139">
        <v>2383.5333000000001</v>
      </c>
      <c r="D10" s="139">
        <v>10.210000000000001</v>
      </c>
      <c r="E10" s="139" t="e">
        <f>#REF!+ramanagr!D10</f>
        <v>#REF!</v>
      </c>
      <c r="F10" s="139">
        <v>0</v>
      </c>
      <c r="G10" s="139" t="e">
        <f>#REF!+ramanagr!F10</f>
        <v>#REF!</v>
      </c>
      <c r="H10" s="139">
        <f>C10+(D10-F10)</f>
        <v>2393.7433000000001</v>
      </c>
      <c r="I10" s="139">
        <v>143.50399999999996</v>
      </c>
      <c r="J10" s="139">
        <v>0.06</v>
      </c>
      <c r="K10" s="139" t="e">
        <f>#REF!+ramanagr!J10</f>
        <v>#REF!</v>
      </c>
      <c r="L10" s="139">
        <v>0</v>
      </c>
      <c r="M10" s="139" t="e">
        <f>#REF!+ramanagr!L10</f>
        <v>#REF!</v>
      </c>
      <c r="N10" s="139">
        <f>I10+(J10-L10)</f>
        <v>143.56399999999996</v>
      </c>
      <c r="O10" s="139">
        <v>18.149999999999999</v>
      </c>
      <c r="P10" s="139">
        <v>0</v>
      </c>
      <c r="Q10" s="139" t="e">
        <f>#REF!+ramanagr!P10</f>
        <v>#REF!</v>
      </c>
      <c r="R10" s="139">
        <v>0</v>
      </c>
      <c r="S10" s="139" t="e">
        <f>#REF!+ramanagr!R10</f>
        <v>#REF!</v>
      </c>
      <c r="T10" s="139">
        <f>O10+(P10-R10)</f>
        <v>18.149999999999999</v>
      </c>
      <c r="U10" s="139">
        <f>H10+N10+T10</f>
        <v>2555.4573</v>
      </c>
    </row>
    <row r="11" spans="1:22" s="111" customFormat="1" ht="99.75" customHeight="1" x14ac:dyDescent="0.4">
      <c r="A11" s="135"/>
      <c r="B11" s="135" t="s">
        <v>36</v>
      </c>
      <c r="C11" s="141">
        <f>SUM(C7:C10)</f>
        <v>9967.9782999999989</v>
      </c>
      <c r="D11" s="141">
        <f>D10+D9+D8+D7</f>
        <v>63.463999999999999</v>
      </c>
      <c r="E11" s="141" t="e">
        <f>#REF!+ramanagr!D11</f>
        <v>#REF!</v>
      </c>
      <c r="F11" s="141">
        <f>F10+F9+F8+F7</f>
        <v>0</v>
      </c>
      <c r="G11" s="141" t="e">
        <f>#REF!+ramanagr!F11</f>
        <v>#REF!</v>
      </c>
      <c r="H11" s="141">
        <f>C11+(D11-F11)</f>
        <v>10031.442299999999</v>
      </c>
      <c r="I11" s="141">
        <f>SUM(I7:I10)</f>
        <v>247.15199999999999</v>
      </c>
      <c r="J11" s="141">
        <f>J10+J9+J8+J7</f>
        <v>5.56</v>
      </c>
      <c r="K11" s="141" t="e">
        <f>#REF!+ramanagr!J11</f>
        <v>#REF!</v>
      </c>
      <c r="L11" s="141">
        <f>L10+L9+L8+L7</f>
        <v>0</v>
      </c>
      <c r="M11" s="141" t="e">
        <f>#REF!+ramanagr!L11</f>
        <v>#REF!</v>
      </c>
      <c r="N11" s="141">
        <f>I11+(J11-L11)</f>
        <v>252.71199999999999</v>
      </c>
      <c r="O11" s="141">
        <f>SUM(O7:O10)</f>
        <v>146.95000000000002</v>
      </c>
      <c r="P11" s="141">
        <f>P10+P9+P8+P7</f>
        <v>0</v>
      </c>
      <c r="Q11" s="141" t="e">
        <f>#REF!+ramanagr!P11</f>
        <v>#REF!</v>
      </c>
      <c r="R11" s="141">
        <f>R10+R9+R8+R7</f>
        <v>0</v>
      </c>
      <c r="S11" s="141" t="e">
        <f>#REF!+ramanagr!R11</f>
        <v>#REF!</v>
      </c>
      <c r="T11" s="141">
        <f>O11+(P11-R11)</f>
        <v>146.95000000000002</v>
      </c>
      <c r="U11" s="141">
        <f>H11+N11+T11</f>
        <v>10431.104299999999</v>
      </c>
    </row>
    <row r="14" spans="1:22" x14ac:dyDescent="0.35">
      <c r="C14" s="119"/>
    </row>
    <row r="15" spans="1:22" x14ac:dyDescent="0.35">
      <c r="H15" s="130"/>
      <c r="I15" s="131"/>
      <c r="J15" s="130"/>
    </row>
    <row r="16" spans="1:22" x14ac:dyDescent="0.35">
      <c r="H16" s="130"/>
      <c r="I16" s="131"/>
      <c r="J16" s="130"/>
    </row>
    <row r="17" spans="8:21" x14ac:dyDescent="0.35">
      <c r="H17" s="125">
        <f>'[2]nov 17'!J53+'[2]dec 17'!J51</f>
        <v>98988.2883</v>
      </c>
      <c r="I17" s="131"/>
      <c r="J17" s="130"/>
    </row>
    <row r="18" spans="8:21" x14ac:dyDescent="0.35">
      <c r="H18" s="130"/>
      <c r="I18" s="131"/>
      <c r="J18" s="130"/>
    </row>
    <row r="19" spans="8:21" x14ac:dyDescent="0.35">
      <c r="H19" s="130"/>
      <c r="I19" s="131"/>
      <c r="J19" s="130"/>
    </row>
    <row r="20" spans="8:21" x14ac:dyDescent="0.35">
      <c r="I20" s="12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29">
        <f>78.17+53.54</f>
        <v>131.71</v>
      </c>
      <c r="P21" s="107"/>
      <c r="Q21" s="107"/>
      <c r="R21" s="107"/>
      <c r="S21" s="108"/>
      <c r="T21" s="107"/>
      <c r="U21" s="107"/>
    </row>
  </sheetData>
  <mergeCells count="20">
    <mergeCell ref="T5:T6"/>
    <mergeCell ref="U5:U6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73"/>
  <sheetViews>
    <sheetView zoomScaleNormal="100" workbookViewId="0">
      <pane ySplit="6" topLeftCell="A7" activePane="bottomLeft" state="frozen"/>
      <selection pane="bottomLeft" activeCell="C7" sqref="C7:C50"/>
    </sheetView>
  </sheetViews>
  <sheetFormatPr defaultRowHeight="15.75" x14ac:dyDescent="0.25"/>
  <cols>
    <col min="1" max="1" width="5.7109375" style="11" customWidth="1"/>
    <col min="2" max="2" width="32" style="11" customWidth="1"/>
    <col min="3" max="3" width="18.42578125" style="11" customWidth="1"/>
    <col min="4" max="4" width="16" style="11" customWidth="1"/>
    <col min="5" max="5" width="17.85546875" style="11" customWidth="1"/>
    <col min="6" max="6" width="14" style="11" customWidth="1"/>
    <col min="7" max="7" width="18.5703125" style="11" customWidth="1"/>
    <col min="8" max="8" width="19.85546875" style="11" customWidth="1"/>
    <col min="9" max="9" width="14.7109375" style="82" bestFit="1" customWidth="1"/>
    <col min="10" max="10" width="19.85546875" style="11" customWidth="1"/>
    <col min="11" max="11" width="14.28515625" style="11" customWidth="1"/>
    <col min="12" max="12" width="16.28515625" style="11" customWidth="1"/>
    <col min="13" max="13" width="19.5703125" style="11" customWidth="1"/>
    <col min="14" max="14" width="17.5703125" style="11" customWidth="1"/>
    <col min="15" max="15" width="11.7109375" style="11" customWidth="1"/>
    <col min="16" max="16" width="15" style="75" customWidth="1"/>
    <col min="17" max="17" width="17.28515625" style="75" customWidth="1"/>
    <col min="18" max="18" width="13.140625" style="75" customWidth="1"/>
    <col min="19" max="19" width="20.28515625" style="76" customWidth="1"/>
    <col min="20" max="20" width="18.42578125" style="75" customWidth="1"/>
    <col min="21" max="21" width="22.28515625" style="75" customWidth="1"/>
    <col min="22" max="22" width="9.28515625" style="11" bestFit="1" customWidth="1"/>
    <col min="23" max="16384" width="9.140625" style="11"/>
  </cols>
  <sheetData>
    <row r="1" spans="1:22" x14ac:dyDescent="0.25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</row>
    <row r="2" spans="1:22" ht="15" customHeight="1" x14ac:dyDescent="0.25">
      <c r="A2" s="213" t="s">
        <v>67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2" ht="15" customHeight="1" x14ac:dyDescent="0.2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</row>
    <row r="4" spans="1:22" s="68" customFormat="1" ht="18.75" customHeight="1" x14ac:dyDescent="0.25">
      <c r="A4" s="207" t="s">
        <v>1</v>
      </c>
      <c r="B4" s="207" t="s">
        <v>2</v>
      </c>
      <c r="C4" s="207" t="s">
        <v>3</v>
      </c>
      <c r="D4" s="207"/>
      <c r="E4" s="207"/>
      <c r="F4" s="207"/>
      <c r="G4" s="207"/>
      <c r="H4" s="207"/>
      <c r="I4" s="207" t="s">
        <v>4</v>
      </c>
      <c r="J4" s="210"/>
      <c r="K4" s="210"/>
      <c r="L4" s="210"/>
      <c r="M4" s="210"/>
      <c r="N4" s="210"/>
      <c r="O4" s="207" t="s">
        <v>5</v>
      </c>
      <c r="P4" s="210"/>
      <c r="Q4" s="210"/>
      <c r="R4" s="210"/>
      <c r="S4" s="210"/>
      <c r="T4" s="210"/>
      <c r="U4" s="93"/>
    </row>
    <row r="5" spans="1:22" s="68" customFormat="1" ht="24.75" customHeight="1" x14ac:dyDescent="0.25">
      <c r="A5" s="210"/>
      <c r="B5" s="210"/>
      <c r="C5" s="207" t="s">
        <v>6</v>
      </c>
      <c r="D5" s="207" t="s">
        <v>7</v>
      </c>
      <c r="E5" s="207"/>
      <c r="F5" s="207" t="s">
        <v>8</v>
      </c>
      <c r="G5" s="207"/>
      <c r="H5" s="208" t="s">
        <v>9</v>
      </c>
      <c r="I5" s="207" t="s">
        <v>6</v>
      </c>
      <c r="J5" s="207" t="s">
        <v>7</v>
      </c>
      <c r="K5" s="207"/>
      <c r="L5" s="207" t="s">
        <v>8</v>
      </c>
      <c r="M5" s="207"/>
      <c r="N5" s="207" t="s">
        <v>9</v>
      </c>
      <c r="O5" s="207" t="s">
        <v>6</v>
      </c>
      <c r="P5" s="207" t="s">
        <v>7</v>
      </c>
      <c r="Q5" s="207"/>
      <c r="R5" s="207" t="s">
        <v>8</v>
      </c>
      <c r="S5" s="207"/>
      <c r="T5" s="207" t="s">
        <v>9</v>
      </c>
      <c r="U5" s="207" t="s">
        <v>10</v>
      </c>
    </row>
    <row r="6" spans="1:22" s="68" customFormat="1" ht="21.75" customHeight="1" x14ac:dyDescent="0.25">
      <c r="A6" s="210"/>
      <c r="B6" s="210"/>
      <c r="C6" s="210"/>
      <c r="D6" s="92" t="s">
        <v>11</v>
      </c>
      <c r="E6" s="92" t="s">
        <v>12</v>
      </c>
      <c r="F6" s="92" t="s">
        <v>11</v>
      </c>
      <c r="G6" s="92" t="s">
        <v>12</v>
      </c>
      <c r="H6" s="209"/>
      <c r="I6" s="210"/>
      <c r="J6" s="92" t="s">
        <v>11</v>
      </c>
      <c r="K6" s="92" t="s">
        <v>12</v>
      </c>
      <c r="L6" s="92" t="s">
        <v>11</v>
      </c>
      <c r="M6" s="92" t="s">
        <v>12</v>
      </c>
      <c r="N6" s="207"/>
      <c r="O6" s="210"/>
      <c r="P6" s="92" t="s">
        <v>11</v>
      </c>
      <c r="Q6" s="92" t="s">
        <v>12</v>
      </c>
      <c r="R6" s="92" t="s">
        <v>11</v>
      </c>
      <c r="S6" s="92" t="s">
        <v>12</v>
      </c>
      <c r="T6" s="207"/>
      <c r="U6" s="207"/>
    </row>
    <row r="7" spans="1:22" ht="19.5" customHeight="1" x14ac:dyDescent="0.25">
      <c r="A7" s="93">
        <v>1</v>
      </c>
      <c r="B7" s="93" t="s">
        <v>13</v>
      </c>
      <c r="C7" s="7">
        <v>192.87</v>
      </c>
      <c r="D7" s="7">
        <v>0</v>
      </c>
      <c r="E7" s="7">
        <v>0</v>
      </c>
      <c r="F7" s="7">
        <v>0</v>
      </c>
      <c r="G7" s="7">
        <v>0</v>
      </c>
      <c r="H7" s="7">
        <f>C7+(D7-F7)</f>
        <v>192.87</v>
      </c>
      <c r="I7" s="7">
        <v>338.09</v>
      </c>
      <c r="J7" s="7">
        <v>0.84</v>
      </c>
      <c r="K7" s="7">
        <v>0.84</v>
      </c>
      <c r="L7" s="7">
        <v>0</v>
      </c>
      <c r="M7" s="7">
        <v>0</v>
      </c>
      <c r="N7" s="7">
        <f>I7+(J7-L7)</f>
        <v>338.92999999999995</v>
      </c>
      <c r="O7" s="7">
        <v>19.27</v>
      </c>
      <c r="P7" s="7">
        <v>0</v>
      </c>
      <c r="Q7" s="7">
        <v>0</v>
      </c>
      <c r="R7" s="7">
        <v>0</v>
      </c>
      <c r="S7" s="7">
        <v>0</v>
      </c>
      <c r="T7" s="7">
        <f>O7+(P7-R7)</f>
        <v>19.27</v>
      </c>
      <c r="U7" s="7">
        <f t="shared" ref="U7:U22" si="0">H7+N7+T7</f>
        <v>551.06999999999994</v>
      </c>
    </row>
    <row r="8" spans="1:22" ht="21.75" customHeight="1" x14ac:dyDescent="0.25">
      <c r="A8" s="93">
        <v>2</v>
      </c>
      <c r="B8" s="93" t="s">
        <v>65</v>
      </c>
      <c r="C8" s="7">
        <v>265.93</v>
      </c>
      <c r="D8" s="7">
        <v>1.5</v>
      </c>
      <c r="E8" s="7">
        <v>1.5</v>
      </c>
      <c r="F8" s="7">
        <v>0</v>
      </c>
      <c r="G8" s="7">
        <v>0</v>
      </c>
      <c r="H8" s="7">
        <f t="shared" ref="H8:H47" si="1">C8+(D8-F8)</f>
        <v>267.43</v>
      </c>
      <c r="I8" s="7">
        <v>220.04</v>
      </c>
      <c r="J8" s="7">
        <v>0.02</v>
      </c>
      <c r="K8" s="7">
        <v>0.02</v>
      </c>
      <c r="L8" s="7">
        <v>0</v>
      </c>
      <c r="M8" s="7">
        <v>0</v>
      </c>
      <c r="N8" s="7">
        <f t="shared" ref="N8:N47" si="2">I8+(J8-L8)</f>
        <v>220.06</v>
      </c>
      <c r="O8" s="7">
        <v>51.99</v>
      </c>
      <c r="P8" s="7">
        <v>0</v>
      </c>
      <c r="Q8" s="7">
        <v>0</v>
      </c>
      <c r="R8" s="7">
        <v>0</v>
      </c>
      <c r="S8" s="7">
        <v>0</v>
      </c>
      <c r="T8" s="7">
        <f t="shared" ref="T8:T47" si="3">O8+(P8-R8)</f>
        <v>51.99</v>
      </c>
      <c r="U8" s="7">
        <f t="shared" si="0"/>
        <v>539.48</v>
      </c>
    </row>
    <row r="9" spans="1:22" ht="17.25" customHeight="1" x14ac:dyDescent="0.25">
      <c r="A9" s="93">
        <v>3</v>
      </c>
      <c r="B9" s="93" t="s">
        <v>14</v>
      </c>
      <c r="C9" s="7" t="e">
        <f>#REF!</f>
        <v>#REF!</v>
      </c>
      <c r="D9" s="7">
        <v>0</v>
      </c>
      <c r="E9" s="7">
        <v>0</v>
      </c>
      <c r="F9" s="7">
        <v>0</v>
      </c>
      <c r="G9" s="7">
        <v>0</v>
      </c>
      <c r="H9" s="7" t="e">
        <f t="shared" si="1"/>
        <v>#REF!</v>
      </c>
      <c r="I9" s="7">
        <v>421.24</v>
      </c>
      <c r="J9" s="7">
        <v>0.87</v>
      </c>
      <c r="K9" s="7">
        <v>0.87</v>
      </c>
      <c r="L9" s="7">
        <v>0</v>
      </c>
      <c r="M9" s="7">
        <v>0</v>
      </c>
      <c r="N9" s="7">
        <f t="shared" si="2"/>
        <v>422.11</v>
      </c>
      <c r="O9" s="7">
        <v>44.81</v>
      </c>
      <c r="P9" s="100">
        <f>0.05+49.16</f>
        <v>49.209999999999994</v>
      </c>
      <c r="Q9" s="7">
        <v>0.05</v>
      </c>
      <c r="R9" s="7">
        <v>0</v>
      </c>
      <c r="S9" s="7">
        <v>0</v>
      </c>
      <c r="T9" s="7">
        <f t="shared" si="3"/>
        <v>94.02</v>
      </c>
      <c r="U9" s="7" t="e">
        <f t="shared" si="0"/>
        <v>#REF!</v>
      </c>
    </row>
    <row r="10" spans="1:22" s="16" customFormat="1" ht="19.5" customHeight="1" x14ac:dyDescent="0.25">
      <c r="A10" s="93">
        <v>4</v>
      </c>
      <c r="B10" s="89" t="s">
        <v>15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 t="shared" si="1"/>
        <v>0</v>
      </c>
      <c r="I10" s="7">
        <v>346.99</v>
      </c>
      <c r="J10" s="7">
        <v>0</v>
      </c>
      <c r="K10" s="7">
        <v>0</v>
      </c>
      <c r="L10" s="7">
        <v>0</v>
      </c>
      <c r="M10" s="7">
        <v>0</v>
      </c>
      <c r="N10" s="7">
        <f t="shared" si="2"/>
        <v>346.99</v>
      </c>
      <c r="O10" s="7">
        <v>0.2</v>
      </c>
      <c r="P10" s="7">
        <v>0</v>
      </c>
      <c r="Q10" s="7">
        <v>0</v>
      </c>
      <c r="R10" s="7">
        <v>0</v>
      </c>
      <c r="S10" s="7">
        <v>0</v>
      </c>
      <c r="T10" s="7">
        <f t="shared" si="3"/>
        <v>0.2</v>
      </c>
      <c r="U10" s="7">
        <f t="shared" si="0"/>
        <v>347.19</v>
      </c>
      <c r="V10" s="14"/>
    </row>
    <row r="11" spans="1:22" ht="25.5" customHeight="1" x14ac:dyDescent="0.25">
      <c r="A11" s="92"/>
      <c r="B11" s="87" t="s">
        <v>16</v>
      </c>
      <c r="C11" s="55" t="e">
        <f>SUM(C7:C10)</f>
        <v>#REF!</v>
      </c>
      <c r="D11" s="14">
        <f>SUM(D7:D10)</f>
        <v>1.5</v>
      </c>
      <c r="E11" s="14">
        <f>SUM(E7:E10)</f>
        <v>1.5</v>
      </c>
      <c r="F11" s="14">
        <f>SUM(F7:F10)</f>
        <v>0</v>
      </c>
      <c r="G11" s="14">
        <f>SUM(G7:G10)</f>
        <v>0</v>
      </c>
      <c r="H11" s="55" t="e">
        <f t="shared" si="1"/>
        <v>#REF!</v>
      </c>
      <c r="I11" s="55">
        <f>SUM(I7:I10)</f>
        <v>1326.3600000000001</v>
      </c>
      <c r="J11" s="14">
        <f t="shared" ref="J11:S11" si="4">SUM(J7:J10)</f>
        <v>1.73</v>
      </c>
      <c r="K11" s="14">
        <f t="shared" si="4"/>
        <v>1.73</v>
      </c>
      <c r="L11" s="14">
        <f t="shared" si="4"/>
        <v>0</v>
      </c>
      <c r="M11" s="14">
        <f t="shared" si="4"/>
        <v>0</v>
      </c>
      <c r="N11" s="55">
        <f t="shared" si="2"/>
        <v>1328.0900000000001</v>
      </c>
      <c r="O11" s="55">
        <f>SUM(O7:O10)</f>
        <v>116.27000000000001</v>
      </c>
      <c r="P11" s="14">
        <f t="shared" si="4"/>
        <v>49.209999999999994</v>
      </c>
      <c r="Q11" s="14">
        <f t="shared" si="4"/>
        <v>0.05</v>
      </c>
      <c r="R11" s="14">
        <f t="shared" si="4"/>
        <v>0</v>
      </c>
      <c r="S11" s="14">
        <f t="shared" si="4"/>
        <v>0</v>
      </c>
      <c r="T11" s="55">
        <f t="shared" si="3"/>
        <v>165.48000000000002</v>
      </c>
      <c r="U11" s="55" t="e">
        <f t="shared" si="0"/>
        <v>#REF!</v>
      </c>
    </row>
    <row r="12" spans="1:22" ht="19.5" customHeight="1" x14ac:dyDescent="0.25">
      <c r="A12" s="93">
        <v>5</v>
      </c>
      <c r="B12" s="93" t="s">
        <v>17</v>
      </c>
      <c r="C12" s="7">
        <v>567.24</v>
      </c>
      <c r="D12" s="7">
        <v>0</v>
      </c>
      <c r="E12" s="7">
        <v>0</v>
      </c>
      <c r="F12" s="7">
        <v>0</v>
      </c>
      <c r="G12" s="7">
        <v>0</v>
      </c>
      <c r="H12" s="7">
        <f t="shared" si="1"/>
        <v>567.24</v>
      </c>
      <c r="I12" s="7">
        <v>675.76</v>
      </c>
      <c r="J12" s="7">
        <v>0.97</v>
      </c>
      <c r="K12" s="7">
        <v>0.97</v>
      </c>
      <c r="L12" s="7">
        <v>0</v>
      </c>
      <c r="M12" s="7">
        <v>0</v>
      </c>
      <c r="N12" s="7">
        <f t="shared" si="2"/>
        <v>676.73</v>
      </c>
      <c r="O12" s="7">
        <v>40.86</v>
      </c>
      <c r="P12" s="7">
        <v>0</v>
      </c>
      <c r="Q12" s="7">
        <v>0</v>
      </c>
      <c r="R12" s="7">
        <v>0</v>
      </c>
      <c r="S12" s="7">
        <v>0</v>
      </c>
      <c r="T12" s="7">
        <f t="shared" si="3"/>
        <v>40.86</v>
      </c>
      <c r="U12" s="7">
        <f t="shared" si="0"/>
        <v>1284.83</v>
      </c>
    </row>
    <row r="13" spans="1:22" ht="21" customHeight="1" x14ac:dyDescent="0.25">
      <c r="A13" s="93">
        <v>6</v>
      </c>
      <c r="B13" s="93" t="s">
        <v>18</v>
      </c>
      <c r="C13" s="7" t="e">
        <f>#REF!</f>
        <v>#REF!</v>
      </c>
      <c r="D13" s="7">
        <v>0.74</v>
      </c>
      <c r="E13" s="7">
        <v>0.74</v>
      </c>
      <c r="F13" s="7">
        <v>0</v>
      </c>
      <c r="G13" s="7">
        <v>0</v>
      </c>
      <c r="H13" s="7" t="e">
        <f t="shared" si="1"/>
        <v>#REF!</v>
      </c>
      <c r="I13" s="7">
        <v>481.37</v>
      </c>
      <c r="J13" s="7">
        <v>0.24</v>
      </c>
      <c r="K13" s="7">
        <v>0.24</v>
      </c>
      <c r="L13" s="7">
        <v>0</v>
      </c>
      <c r="M13" s="7">
        <v>0</v>
      </c>
      <c r="N13" s="7">
        <f t="shared" si="2"/>
        <v>481.61</v>
      </c>
      <c r="O13" s="7">
        <v>23.08</v>
      </c>
      <c r="P13" s="100">
        <f>0.14+49.16</f>
        <v>49.3</v>
      </c>
      <c r="Q13" s="7">
        <v>0.14000000000000001</v>
      </c>
      <c r="R13" s="7">
        <v>0</v>
      </c>
      <c r="S13" s="7">
        <v>0</v>
      </c>
      <c r="T13" s="7">
        <f t="shared" si="3"/>
        <v>72.38</v>
      </c>
      <c r="U13" s="7" t="e">
        <f t="shared" si="0"/>
        <v>#REF!</v>
      </c>
    </row>
    <row r="14" spans="1:22" s="16" customFormat="1" ht="19.5" customHeight="1" x14ac:dyDescent="0.25">
      <c r="A14" s="93">
        <v>7</v>
      </c>
      <c r="B14" s="93" t="s">
        <v>19</v>
      </c>
      <c r="C14" s="7" t="e">
        <f>#REF!</f>
        <v>#REF!</v>
      </c>
      <c r="D14" s="7">
        <v>1.75</v>
      </c>
      <c r="E14" s="7">
        <v>1.75</v>
      </c>
      <c r="F14" s="7">
        <v>0</v>
      </c>
      <c r="G14" s="7">
        <v>0</v>
      </c>
      <c r="H14" s="7" t="e">
        <f t="shared" si="1"/>
        <v>#REF!</v>
      </c>
      <c r="I14" s="7" t="e">
        <f>#REF!</f>
        <v>#REF!</v>
      </c>
      <c r="J14" s="7">
        <v>1.72</v>
      </c>
      <c r="K14" s="7">
        <v>1.72</v>
      </c>
      <c r="L14" s="7">
        <v>0</v>
      </c>
      <c r="M14" s="7">
        <v>0</v>
      </c>
      <c r="N14" s="7" t="e">
        <f t="shared" si="2"/>
        <v>#REF!</v>
      </c>
      <c r="O14" s="7">
        <v>66.510000000000005</v>
      </c>
      <c r="P14" s="7">
        <v>0</v>
      </c>
      <c r="Q14" s="7">
        <v>0</v>
      </c>
      <c r="R14" s="7">
        <v>0</v>
      </c>
      <c r="S14" s="7">
        <v>0</v>
      </c>
      <c r="T14" s="7">
        <f t="shared" si="3"/>
        <v>66.510000000000005</v>
      </c>
      <c r="U14" s="7" t="e">
        <f t="shared" si="0"/>
        <v>#REF!</v>
      </c>
      <c r="V14" s="94"/>
    </row>
    <row r="15" spans="1:22" ht="21" customHeight="1" x14ac:dyDescent="0.25">
      <c r="A15" s="92"/>
      <c r="B15" s="87" t="s">
        <v>20</v>
      </c>
      <c r="C15" s="55" t="e">
        <f>SUM(C12:C14)</f>
        <v>#REF!</v>
      </c>
      <c r="D15" s="14">
        <f>SUM(D12:D14)</f>
        <v>2.4900000000000002</v>
      </c>
      <c r="E15" s="14">
        <f>SUM(E12:E14)</f>
        <v>2.4900000000000002</v>
      </c>
      <c r="F15" s="14">
        <f>SUM(F12:F14)</f>
        <v>0</v>
      </c>
      <c r="G15" s="14">
        <f>SUM(G12:G14)</f>
        <v>0</v>
      </c>
      <c r="H15" s="55" t="e">
        <f>C15+(D15-F15)</f>
        <v>#REF!</v>
      </c>
      <c r="I15" s="55" t="e">
        <f>SUM(I12:I14)</f>
        <v>#REF!</v>
      </c>
      <c r="J15" s="14">
        <f>J14+J13+J12</f>
        <v>2.9299999999999997</v>
      </c>
      <c r="K15" s="14">
        <f>K14+K13+K12</f>
        <v>2.9299999999999997</v>
      </c>
      <c r="L15" s="14">
        <f t="shared" ref="L15:S15" si="5">L14+L13+L12</f>
        <v>0</v>
      </c>
      <c r="M15" s="14">
        <f t="shared" si="5"/>
        <v>0</v>
      </c>
      <c r="N15" s="55" t="e">
        <f t="shared" si="2"/>
        <v>#REF!</v>
      </c>
      <c r="O15" s="55">
        <f>SUM(O12:O14)</f>
        <v>130.44999999999999</v>
      </c>
      <c r="P15" s="14">
        <f t="shared" si="5"/>
        <v>49.3</v>
      </c>
      <c r="Q15" s="14">
        <f t="shared" si="5"/>
        <v>0.14000000000000001</v>
      </c>
      <c r="R15" s="14">
        <f t="shared" si="5"/>
        <v>0</v>
      </c>
      <c r="S15" s="14">
        <f t="shared" si="5"/>
        <v>0</v>
      </c>
      <c r="T15" s="55">
        <f t="shared" si="3"/>
        <v>179.75</v>
      </c>
      <c r="U15" s="55" t="e">
        <f t="shared" si="0"/>
        <v>#REF!</v>
      </c>
    </row>
    <row r="16" spans="1:22" s="24" customFormat="1" ht="21.75" customHeight="1" x14ac:dyDescent="0.25">
      <c r="A16" s="93">
        <v>8</v>
      </c>
      <c r="B16" s="93" t="s">
        <v>21</v>
      </c>
      <c r="C16" s="7">
        <v>968.202</v>
      </c>
      <c r="D16" s="7">
        <v>0</v>
      </c>
      <c r="E16" s="7">
        <v>0</v>
      </c>
      <c r="F16" s="7">
        <v>0</v>
      </c>
      <c r="G16" s="7">
        <v>0</v>
      </c>
      <c r="H16" s="7">
        <f t="shared" si="1"/>
        <v>968.202</v>
      </c>
      <c r="I16" s="7">
        <v>76.02</v>
      </c>
      <c r="J16" s="7">
        <v>0.8</v>
      </c>
      <c r="K16" s="7">
        <v>0.8</v>
      </c>
      <c r="L16" s="7">
        <v>0</v>
      </c>
      <c r="M16" s="7">
        <v>0</v>
      </c>
      <c r="N16" s="7">
        <f t="shared" si="2"/>
        <v>76.819999999999993</v>
      </c>
      <c r="O16" s="7">
        <v>246.57</v>
      </c>
      <c r="P16" s="7">
        <v>0</v>
      </c>
      <c r="Q16" s="7">
        <v>0</v>
      </c>
      <c r="R16" s="7">
        <v>0</v>
      </c>
      <c r="S16" s="7">
        <v>0</v>
      </c>
      <c r="T16" s="7">
        <f t="shared" si="3"/>
        <v>246.57</v>
      </c>
      <c r="U16" s="7">
        <f t="shared" si="0"/>
        <v>1291.5919999999999</v>
      </c>
    </row>
    <row r="17" spans="1:22" ht="21.75" customHeight="1" x14ac:dyDescent="0.25">
      <c r="A17" s="86">
        <v>9</v>
      </c>
      <c r="B17" s="90" t="s">
        <v>22</v>
      </c>
      <c r="C17" s="20">
        <v>197.16</v>
      </c>
      <c r="D17" s="20">
        <v>0.2</v>
      </c>
      <c r="E17" s="7">
        <v>0.2</v>
      </c>
      <c r="F17" s="20">
        <v>0</v>
      </c>
      <c r="G17" s="7">
        <v>0</v>
      </c>
      <c r="H17" s="20">
        <f t="shared" si="1"/>
        <v>197.35999999999999</v>
      </c>
      <c r="I17" s="20">
        <v>317.48</v>
      </c>
      <c r="J17" s="20">
        <v>0</v>
      </c>
      <c r="K17" s="7">
        <v>0</v>
      </c>
      <c r="L17" s="20">
        <v>0</v>
      </c>
      <c r="M17" s="7">
        <v>0</v>
      </c>
      <c r="N17" s="20">
        <f t="shared" si="2"/>
        <v>317.48</v>
      </c>
      <c r="O17" s="20">
        <v>18.649999999999999</v>
      </c>
      <c r="P17" s="101">
        <f>0.23+49.16</f>
        <v>49.389999999999993</v>
      </c>
      <c r="Q17" s="7">
        <v>0.23</v>
      </c>
      <c r="R17" s="7">
        <v>0</v>
      </c>
      <c r="S17" s="7">
        <v>0</v>
      </c>
      <c r="T17" s="20">
        <f t="shared" si="3"/>
        <v>68.039999999999992</v>
      </c>
      <c r="U17" s="7">
        <f t="shared" si="0"/>
        <v>582.88</v>
      </c>
    </row>
    <row r="18" spans="1:22" s="16" customFormat="1" ht="19.5" customHeight="1" x14ac:dyDescent="0.25">
      <c r="A18" s="93">
        <v>10</v>
      </c>
      <c r="B18" s="89" t="s">
        <v>23</v>
      </c>
      <c r="C18" s="7">
        <v>188.01499999999999</v>
      </c>
      <c r="D18" s="7">
        <v>0.03</v>
      </c>
      <c r="E18" s="7">
        <v>0.03</v>
      </c>
      <c r="F18" s="7">
        <v>0</v>
      </c>
      <c r="G18" s="7">
        <v>0</v>
      </c>
      <c r="H18" s="7">
        <f t="shared" si="1"/>
        <v>188.04499999999999</v>
      </c>
      <c r="I18" s="7">
        <v>326.55</v>
      </c>
      <c r="J18" s="7">
        <v>0.41</v>
      </c>
      <c r="K18" s="7">
        <v>0.41</v>
      </c>
      <c r="L18" s="7">
        <v>0</v>
      </c>
      <c r="M18" s="7">
        <v>0</v>
      </c>
      <c r="N18" s="7">
        <f t="shared" si="2"/>
        <v>326.96000000000004</v>
      </c>
      <c r="O18" s="7">
        <v>38.869999999999997</v>
      </c>
      <c r="P18" s="7">
        <v>0</v>
      </c>
      <c r="Q18" s="7">
        <v>0</v>
      </c>
      <c r="R18" s="7">
        <v>0</v>
      </c>
      <c r="S18" s="7">
        <v>0</v>
      </c>
      <c r="T18" s="7">
        <f t="shared" si="3"/>
        <v>38.869999999999997</v>
      </c>
      <c r="U18" s="7">
        <f t="shared" si="0"/>
        <v>553.875</v>
      </c>
      <c r="V18" s="94"/>
    </row>
    <row r="19" spans="1:22" ht="19.5" customHeight="1" x14ac:dyDescent="0.25">
      <c r="A19" s="92"/>
      <c r="B19" s="87" t="s">
        <v>24</v>
      </c>
      <c r="C19" s="55">
        <f>SUM(C16:C18)</f>
        <v>1353.377</v>
      </c>
      <c r="D19" s="14">
        <f>SUM(D16:D18)</f>
        <v>0.23</v>
      </c>
      <c r="E19" s="14">
        <f>SUM(E16:E18)</f>
        <v>0.23</v>
      </c>
      <c r="F19" s="14">
        <v>0</v>
      </c>
      <c r="G19" s="14">
        <v>0</v>
      </c>
      <c r="H19" s="55">
        <f t="shared" si="1"/>
        <v>1353.607</v>
      </c>
      <c r="I19" s="55">
        <f>SUM(I16:I18)</f>
        <v>720.05</v>
      </c>
      <c r="J19" s="14">
        <f>J16+J17+J18</f>
        <v>1.21</v>
      </c>
      <c r="K19" s="14">
        <f t="shared" ref="K19:S19" si="6">K16+K17+K18</f>
        <v>1.21</v>
      </c>
      <c r="L19" s="14">
        <f t="shared" si="6"/>
        <v>0</v>
      </c>
      <c r="M19" s="14">
        <v>0</v>
      </c>
      <c r="N19" s="55">
        <f t="shared" si="2"/>
        <v>721.26</v>
      </c>
      <c r="O19" s="55">
        <f>SUM(O16:O18)</f>
        <v>304.08999999999997</v>
      </c>
      <c r="P19" s="14">
        <f t="shared" si="6"/>
        <v>49.389999999999993</v>
      </c>
      <c r="Q19" s="14">
        <f t="shared" si="6"/>
        <v>0.23</v>
      </c>
      <c r="R19" s="14">
        <f t="shared" si="6"/>
        <v>0</v>
      </c>
      <c r="S19" s="14">
        <f t="shared" si="6"/>
        <v>0</v>
      </c>
      <c r="T19" s="55">
        <f t="shared" si="3"/>
        <v>353.47999999999996</v>
      </c>
      <c r="U19" s="55">
        <f t="shared" si="0"/>
        <v>2428.3470000000002</v>
      </c>
    </row>
    <row r="20" spans="1:22" ht="21" customHeight="1" x14ac:dyDescent="0.25">
      <c r="A20" s="93">
        <v>11</v>
      </c>
      <c r="B20" s="93" t="s">
        <v>25</v>
      </c>
      <c r="C20" s="7">
        <v>749.14</v>
      </c>
      <c r="D20" s="7">
        <v>0.93</v>
      </c>
      <c r="E20" s="7">
        <v>0.93</v>
      </c>
      <c r="F20" s="7">
        <v>0.1</v>
      </c>
      <c r="G20" s="7">
        <v>0.1</v>
      </c>
      <c r="H20" s="7">
        <f t="shared" si="1"/>
        <v>749.97</v>
      </c>
      <c r="I20" s="7">
        <v>350.28</v>
      </c>
      <c r="J20" s="7">
        <v>0.47</v>
      </c>
      <c r="K20" s="7">
        <v>0.47</v>
      </c>
      <c r="L20" s="7">
        <v>0</v>
      </c>
      <c r="M20" s="7">
        <v>0</v>
      </c>
      <c r="N20" s="7">
        <f t="shared" si="2"/>
        <v>350.75</v>
      </c>
      <c r="O20" s="7">
        <v>40.74</v>
      </c>
      <c r="P20" s="7">
        <v>0</v>
      </c>
      <c r="Q20" s="7">
        <v>0</v>
      </c>
      <c r="R20" s="7">
        <v>0</v>
      </c>
      <c r="S20" s="7">
        <v>0</v>
      </c>
      <c r="T20" s="7">
        <f t="shared" si="3"/>
        <v>40.74</v>
      </c>
      <c r="U20" s="7">
        <f t="shared" si="0"/>
        <v>1141.46</v>
      </c>
    </row>
    <row r="21" spans="1:22" ht="17.25" customHeight="1" x14ac:dyDescent="0.25">
      <c r="A21" s="93">
        <v>12</v>
      </c>
      <c r="B21" s="93" t="s">
        <v>26</v>
      </c>
      <c r="C21" s="7">
        <v>119.97</v>
      </c>
      <c r="D21" s="7">
        <v>0.54</v>
      </c>
      <c r="E21" s="7">
        <v>0.54</v>
      </c>
      <c r="F21" s="7">
        <v>0</v>
      </c>
      <c r="G21" s="7">
        <v>0</v>
      </c>
      <c r="H21" s="7">
        <f t="shared" si="1"/>
        <v>120.51</v>
      </c>
      <c r="I21" s="7">
        <v>379.89</v>
      </c>
      <c r="J21" s="7">
        <v>0.53</v>
      </c>
      <c r="K21" s="7">
        <v>0.53</v>
      </c>
      <c r="L21" s="7">
        <v>0</v>
      </c>
      <c r="M21" s="7">
        <v>0</v>
      </c>
      <c r="N21" s="7">
        <f t="shared" si="2"/>
        <v>380.41999999999996</v>
      </c>
      <c r="O21" s="7">
        <v>39.15</v>
      </c>
      <c r="P21" s="7">
        <v>0</v>
      </c>
      <c r="Q21" s="7">
        <v>0</v>
      </c>
      <c r="R21" s="7">
        <v>0</v>
      </c>
      <c r="S21" s="7">
        <v>0</v>
      </c>
      <c r="T21" s="7">
        <f t="shared" si="3"/>
        <v>39.15</v>
      </c>
      <c r="U21" s="7">
        <f t="shared" si="0"/>
        <v>540.07999999999993</v>
      </c>
    </row>
    <row r="22" spans="1:22" s="16" customFormat="1" ht="25.5" customHeight="1" x14ac:dyDescent="0.25">
      <c r="A22" s="93">
        <v>13</v>
      </c>
      <c r="B22" s="93" t="s">
        <v>27</v>
      </c>
      <c r="C22" s="7">
        <v>449.91</v>
      </c>
      <c r="D22" s="7">
        <v>0.21</v>
      </c>
      <c r="E22" s="7">
        <v>0.21</v>
      </c>
      <c r="F22" s="7">
        <v>0</v>
      </c>
      <c r="G22" s="7">
        <v>0</v>
      </c>
      <c r="H22" s="7">
        <f t="shared" si="1"/>
        <v>450.12</v>
      </c>
      <c r="I22" s="7">
        <v>174.26</v>
      </c>
      <c r="J22" s="7">
        <v>0</v>
      </c>
      <c r="K22" s="7">
        <v>0</v>
      </c>
      <c r="L22" s="7">
        <v>0</v>
      </c>
      <c r="M22" s="7">
        <v>0</v>
      </c>
      <c r="N22" s="7">
        <f t="shared" si="2"/>
        <v>174.26</v>
      </c>
      <c r="O22" s="7">
        <v>15.3</v>
      </c>
      <c r="P22" s="7">
        <v>0</v>
      </c>
      <c r="Q22" s="7">
        <v>0</v>
      </c>
      <c r="R22" s="7">
        <v>0</v>
      </c>
      <c r="S22" s="7">
        <v>0</v>
      </c>
      <c r="T22" s="7">
        <f t="shared" si="3"/>
        <v>15.3</v>
      </c>
      <c r="U22" s="7">
        <f t="shared" si="0"/>
        <v>639.67999999999995</v>
      </c>
      <c r="V22" s="94"/>
    </row>
    <row r="23" spans="1:22" s="16" customFormat="1" ht="19.5" customHeight="1" x14ac:dyDescent="0.25">
      <c r="A23" s="92"/>
      <c r="B23" s="87" t="s">
        <v>28</v>
      </c>
      <c r="C23" s="14">
        <f>SUM(C20:C22)</f>
        <v>1319.02</v>
      </c>
      <c r="D23" s="14">
        <f>SUM(D20:D22)</f>
        <v>1.6800000000000002</v>
      </c>
      <c r="E23" s="14">
        <f>SUM(E20:E22)</f>
        <v>1.6800000000000002</v>
      </c>
      <c r="F23" s="14">
        <f>SUM(F20:F22)</f>
        <v>0.1</v>
      </c>
      <c r="G23" s="14">
        <f>SUM(G20:G22)</f>
        <v>0.1</v>
      </c>
      <c r="H23" s="55">
        <f t="shared" si="1"/>
        <v>1320.6</v>
      </c>
      <c r="I23" s="14">
        <f>SUM(I20:I22)</f>
        <v>904.43</v>
      </c>
      <c r="J23" s="14">
        <f>SUM(J20:J22)</f>
        <v>1</v>
      </c>
      <c r="K23" s="14">
        <f>SUM(K20:K22)</f>
        <v>1</v>
      </c>
      <c r="L23" s="14">
        <f>SUM(L20:L22)</f>
        <v>0</v>
      </c>
      <c r="M23" s="14">
        <f>SUM(M20:M22)</f>
        <v>0</v>
      </c>
      <c r="N23" s="55">
        <f t="shared" si="2"/>
        <v>905.43</v>
      </c>
      <c r="O23" s="14">
        <f>SUM(O20:O22)</f>
        <v>95.19</v>
      </c>
      <c r="P23" s="14">
        <f>SUM(P20:P22)</f>
        <v>0</v>
      </c>
      <c r="Q23" s="14">
        <f>SUM(Q20:Q22)</f>
        <v>0</v>
      </c>
      <c r="R23" s="14">
        <f>SUM(R20:R22)</f>
        <v>0</v>
      </c>
      <c r="S23" s="14">
        <f>SUM(S20:S22)</f>
        <v>0</v>
      </c>
      <c r="T23" s="55">
        <f t="shared" si="3"/>
        <v>95.19</v>
      </c>
      <c r="U23" s="14">
        <f t="shared" ref="U23:U47" si="7">H23+N23+T23</f>
        <v>2321.2199999999998</v>
      </c>
      <c r="V23" s="94"/>
    </row>
    <row r="24" spans="1:22" ht="18" customHeight="1" x14ac:dyDescent="0.25">
      <c r="A24" s="92"/>
      <c r="B24" s="92" t="s">
        <v>29</v>
      </c>
      <c r="C24" s="14" t="e">
        <f t="shared" ref="C24:U24" si="8">C23+C19+C15+C11</f>
        <v>#REF!</v>
      </c>
      <c r="D24" s="14">
        <f t="shared" si="8"/>
        <v>5.9</v>
      </c>
      <c r="E24" s="14">
        <f t="shared" si="8"/>
        <v>5.9</v>
      </c>
      <c r="F24" s="14">
        <f t="shared" si="8"/>
        <v>0.1</v>
      </c>
      <c r="G24" s="14">
        <f t="shared" si="8"/>
        <v>0.1</v>
      </c>
      <c r="H24" s="14" t="e">
        <f t="shared" si="8"/>
        <v>#REF!</v>
      </c>
      <c r="I24" s="14" t="e">
        <f t="shared" si="8"/>
        <v>#REF!</v>
      </c>
      <c r="J24" s="14">
        <f t="shared" si="8"/>
        <v>6.8699999999999992</v>
      </c>
      <c r="K24" s="14">
        <f t="shared" si="8"/>
        <v>6.8699999999999992</v>
      </c>
      <c r="L24" s="14">
        <f t="shared" si="8"/>
        <v>0</v>
      </c>
      <c r="M24" s="14">
        <f t="shared" si="8"/>
        <v>0</v>
      </c>
      <c r="N24" s="14" t="e">
        <f t="shared" si="8"/>
        <v>#REF!</v>
      </c>
      <c r="O24" s="14">
        <f t="shared" si="8"/>
        <v>646</v>
      </c>
      <c r="P24" s="14">
        <f t="shared" si="8"/>
        <v>147.89999999999998</v>
      </c>
      <c r="Q24" s="14">
        <f t="shared" si="8"/>
        <v>0.42</v>
      </c>
      <c r="R24" s="14">
        <f t="shared" si="8"/>
        <v>0</v>
      </c>
      <c r="S24" s="14">
        <f t="shared" si="8"/>
        <v>0</v>
      </c>
      <c r="T24" s="14">
        <f t="shared" si="8"/>
        <v>793.9</v>
      </c>
      <c r="U24" s="14" t="e">
        <f t="shared" si="8"/>
        <v>#REF!</v>
      </c>
    </row>
    <row r="25" spans="1:22" ht="27" customHeight="1" x14ac:dyDescent="0.25">
      <c r="A25" s="93">
        <v>15</v>
      </c>
      <c r="B25" s="89" t="s">
        <v>30</v>
      </c>
      <c r="C25" s="7">
        <v>4000.8</v>
      </c>
      <c r="D25" s="7">
        <v>51.37</v>
      </c>
      <c r="E25" s="7">
        <v>51.37</v>
      </c>
      <c r="F25" s="7">
        <v>0</v>
      </c>
      <c r="G25" s="7">
        <v>0</v>
      </c>
      <c r="H25" s="7">
        <f t="shared" si="1"/>
        <v>4052.17</v>
      </c>
      <c r="I25" s="7">
        <v>55.4</v>
      </c>
      <c r="J25" s="7">
        <v>0</v>
      </c>
      <c r="K25" s="7">
        <v>0</v>
      </c>
      <c r="L25" s="7">
        <v>0</v>
      </c>
      <c r="M25" s="7">
        <v>0</v>
      </c>
      <c r="N25" s="7">
        <f t="shared" si="2"/>
        <v>55.4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f t="shared" si="3"/>
        <v>0</v>
      </c>
      <c r="U25" s="7">
        <f t="shared" si="7"/>
        <v>4107.57</v>
      </c>
    </row>
    <row r="26" spans="1:22" s="16" customFormat="1" ht="19.5" customHeight="1" x14ac:dyDescent="0.25">
      <c r="A26" s="93">
        <v>16</v>
      </c>
      <c r="B26" s="93" t="s">
        <v>31</v>
      </c>
      <c r="C26" s="91">
        <v>4869.3599999999997</v>
      </c>
      <c r="D26" s="7">
        <v>6.63</v>
      </c>
      <c r="E26" s="7">
        <v>6.63</v>
      </c>
      <c r="F26" s="7">
        <v>0</v>
      </c>
      <c r="G26" s="7">
        <v>0</v>
      </c>
      <c r="H26" s="7">
        <f t="shared" si="1"/>
        <v>4875.99</v>
      </c>
      <c r="I26" s="7">
        <v>518.59</v>
      </c>
      <c r="J26" s="7">
        <v>0.32</v>
      </c>
      <c r="K26" s="7">
        <v>0.32</v>
      </c>
      <c r="L26" s="7">
        <v>0</v>
      </c>
      <c r="M26" s="7">
        <v>0</v>
      </c>
      <c r="N26" s="7">
        <f t="shared" si="2"/>
        <v>518.91000000000008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f t="shared" si="3"/>
        <v>0</v>
      </c>
      <c r="U26" s="7">
        <f t="shared" si="7"/>
        <v>5394.9</v>
      </c>
      <c r="V26" s="94"/>
    </row>
    <row r="27" spans="1:22" ht="19.5" customHeight="1" x14ac:dyDescent="0.25">
      <c r="A27" s="92"/>
      <c r="B27" s="87" t="s">
        <v>32</v>
      </c>
      <c r="C27" s="55">
        <f>SUM(C25:C26)</f>
        <v>8870.16</v>
      </c>
      <c r="D27" s="14">
        <f>D26+D25</f>
        <v>58</v>
      </c>
      <c r="E27" s="14">
        <f>E26+E25</f>
        <v>58</v>
      </c>
      <c r="F27" s="14">
        <f>F26+F25</f>
        <v>0</v>
      </c>
      <c r="G27" s="14">
        <f>G26+G25</f>
        <v>0</v>
      </c>
      <c r="H27" s="55">
        <f>C27+(D27-F27)</f>
        <v>8928.16</v>
      </c>
      <c r="I27" s="55">
        <f>SUM(I25:I26)</f>
        <v>573.99</v>
      </c>
      <c r="J27" s="14">
        <f>J26+J25</f>
        <v>0.32</v>
      </c>
      <c r="K27" s="14">
        <f>K26+K25</f>
        <v>0.32</v>
      </c>
      <c r="L27" s="14">
        <f t="shared" ref="L27:S27" si="9">L26+L25</f>
        <v>0</v>
      </c>
      <c r="M27" s="14">
        <f t="shared" si="9"/>
        <v>0</v>
      </c>
      <c r="N27" s="55">
        <f t="shared" si="2"/>
        <v>574.31000000000006</v>
      </c>
      <c r="O27" s="14">
        <f>SUM(O25:O26)</f>
        <v>0</v>
      </c>
      <c r="P27" s="14">
        <f t="shared" si="9"/>
        <v>0</v>
      </c>
      <c r="Q27" s="14">
        <f t="shared" si="9"/>
        <v>0</v>
      </c>
      <c r="R27" s="14">
        <f t="shared" si="9"/>
        <v>0</v>
      </c>
      <c r="S27" s="14">
        <f t="shared" si="9"/>
        <v>0</v>
      </c>
      <c r="T27" s="14">
        <f t="shared" si="3"/>
        <v>0</v>
      </c>
      <c r="U27" s="14">
        <f t="shared" si="7"/>
        <v>9502.4699999999993</v>
      </c>
    </row>
    <row r="28" spans="1:22" ht="21.75" customHeight="1" x14ac:dyDescent="0.25">
      <c r="A28" s="93">
        <v>17</v>
      </c>
      <c r="B28" s="89" t="s">
        <v>33</v>
      </c>
      <c r="C28" s="7">
        <v>2978.1</v>
      </c>
      <c r="D28" s="7">
        <v>21.75</v>
      </c>
      <c r="E28" s="7">
        <v>21.75</v>
      </c>
      <c r="F28" s="7">
        <v>0</v>
      </c>
      <c r="G28" s="7">
        <v>0</v>
      </c>
      <c r="H28" s="7">
        <f t="shared" si="1"/>
        <v>2999.85</v>
      </c>
      <c r="I28" s="7">
        <v>1.25</v>
      </c>
      <c r="J28" s="7">
        <v>0</v>
      </c>
      <c r="K28" s="7">
        <v>0</v>
      </c>
      <c r="L28" s="7">
        <v>0</v>
      </c>
      <c r="M28" s="7">
        <v>0</v>
      </c>
      <c r="N28" s="7">
        <f t="shared" si="2"/>
        <v>1.25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f t="shared" si="3"/>
        <v>0</v>
      </c>
      <c r="U28" s="7">
        <f t="shared" si="7"/>
        <v>3001.1</v>
      </c>
    </row>
    <row r="29" spans="1:22" ht="20.25" customHeight="1" x14ac:dyDescent="0.25">
      <c r="A29" s="93">
        <v>18</v>
      </c>
      <c r="B29" s="89" t="s">
        <v>64</v>
      </c>
      <c r="C29" s="7">
        <v>3034.84</v>
      </c>
      <c r="D29" s="7">
        <v>22.02</v>
      </c>
      <c r="E29" s="7">
        <v>22.02</v>
      </c>
      <c r="F29" s="7">
        <v>0</v>
      </c>
      <c r="G29" s="7">
        <v>0</v>
      </c>
      <c r="H29" s="7">
        <f t="shared" si="1"/>
        <v>3056.86</v>
      </c>
      <c r="I29" s="7">
        <v>10.039999999999999</v>
      </c>
      <c r="J29" s="7">
        <v>1.6</v>
      </c>
      <c r="K29" s="7">
        <v>1.6</v>
      </c>
      <c r="L29" s="7">
        <v>0</v>
      </c>
      <c r="M29" s="7">
        <v>0</v>
      </c>
      <c r="N29" s="7">
        <f t="shared" si="2"/>
        <v>11.639999999999999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f t="shared" si="3"/>
        <v>0</v>
      </c>
      <c r="U29" s="7">
        <f t="shared" si="7"/>
        <v>3068.5</v>
      </c>
    </row>
    <row r="30" spans="1:22" s="16" customFormat="1" ht="24.75" customHeight="1" x14ac:dyDescent="0.25">
      <c r="A30" s="93">
        <v>19</v>
      </c>
      <c r="B30" s="89" t="s">
        <v>34</v>
      </c>
      <c r="C30" s="7">
        <v>3800.72</v>
      </c>
      <c r="D30" s="7">
        <v>5.57</v>
      </c>
      <c r="E30" s="7">
        <v>5.57</v>
      </c>
      <c r="F30" s="7">
        <v>0</v>
      </c>
      <c r="G30" s="7">
        <v>0</v>
      </c>
      <c r="H30" s="7">
        <f t="shared" si="1"/>
        <v>3806.29</v>
      </c>
      <c r="I30" s="7">
        <v>18.100000000000001</v>
      </c>
      <c r="J30" s="7">
        <v>0</v>
      </c>
      <c r="K30" s="7">
        <v>0</v>
      </c>
      <c r="L30" s="7">
        <v>0</v>
      </c>
      <c r="M30" s="7">
        <v>0</v>
      </c>
      <c r="N30" s="7">
        <f t="shared" si="2"/>
        <v>18.100000000000001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f t="shared" si="3"/>
        <v>0</v>
      </c>
      <c r="U30" s="7">
        <f t="shared" si="7"/>
        <v>3824.39</v>
      </c>
      <c r="V30" s="94"/>
    </row>
    <row r="31" spans="1:22" ht="23.25" customHeight="1" x14ac:dyDescent="0.25">
      <c r="A31" s="93">
        <v>20</v>
      </c>
      <c r="B31" s="89" t="s">
        <v>35</v>
      </c>
      <c r="C31" s="7">
        <v>2304.38</v>
      </c>
      <c r="D31" s="7">
        <v>13.3</v>
      </c>
      <c r="E31" s="7">
        <v>13.3</v>
      </c>
      <c r="F31" s="7">
        <v>0</v>
      </c>
      <c r="G31" s="7">
        <v>0</v>
      </c>
      <c r="H31" s="7">
        <f t="shared" si="1"/>
        <v>2317.6800000000003</v>
      </c>
      <c r="I31" s="7">
        <v>285.56</v>
      </c>
      <c r="J31" s="7">
        <v>7.0000000000000007E-2</v>
      </c>
      <c r="K31" s="7">
        <v>7.0000000000000007E-2</v>
      </c>
      <c r="L31" s="7">
        <v>0</v>
      </c>
      <c r="M31" s="7">
        <v>0</v>
      </c>
      <c r="N31" s="7">
        <f t="shared" si="2"/>
        <v>285.63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f t="shared" si="3"/>
        <v>0</v>
      </c>
      <c r="U31" s="7">
        <f t="shared" si="7"/>
        <v>2603.3100000000004</v>
      </c>
    </row>
    <row r="32" spans="1:22" ht="20.25" customHeight="1" x14ac:dyDescent="0.25">
      <c r="A32" s="92"/>
      <c r="B32" s="87" t="s">
        <v>36</v>
      </c>
      <c r="C32" s="55">
        <f>SUM(C28:C31)</f>
        <v>12118.04</v>
      </c>
      <c r="D32" s="14">
        <f>D31+D30+D29+D28</f>
        <v>62.64</v>
      </c>
      <c r="E32" s="14">
        <f>E31+E30+E29+E28</f>
        <v>62.64</v>
      </c>
      <c r="F32" s="14">
        <f>F31+F30+F29+F28</f>
        <v>0</v>
      </c>
      <c r="G32" s="14">
        <f>G31+G30+G29+G28</f>
        <v>0</v>
      </c>
      <c r="H32" s="55">
        <f t="shared" si="1"/>
        <v>12180.68</v>
      </c>
      <c r="I32" s="55">
        <f>SUM(I28:I31)</f>
        <v>314.95</v>
      </c>
      <c r="J32" s="14">
        <f t="shared" ref="J32:S32" si="10">J31+J30+J29+J28</f>
        <v>1.6700000000000002</v>
      </c>
      <c r="K32" s="14">
        <f t="shared" si="10"/>
        <v>1.6700000000000002</v>
      </c>
      <c r="L32" s="14">
        <f t="shared" si="10"/>
        <v>0</v>
      </c>
      <c r="M32" s="14">
        <f t="shared" si="10"/>
        <v>0</v>
      </c>
      <c r="N32" s="55">
        <f t="shared" si="2"/>
        <v>316.62</v>
      </c>
      <c r="O32" s="14">
        <f>SUM(O28:O31)</f>
        <v>0</v>
      </c>
      <c r="P32" s="14">
        <f t="shared" si="10"/>
        <v>0</v>
      </c>
      <c r="Q32" s="14">
        <f t="shared" si="10"/>
        <v>0</v>
      </c>
      <c r="R32" s="14">
        <f t="shared" si="10"/>
        <v>0</v>
      </c>
      <c r="S32" s="14">
        <f t="shared" si="10"/>
        <v>0</v>
      </c>
      <c r="T32" s="14">
        <f t="shared" si="3"/>
        <v>0</v>
      </c>
      <c r="U32" s="14">
        <f t="shared" si="7"/>
        <v>12497.300000000001</v>
      </c>
    </row>
    <row r="33" spans="1:22" ht="21.75" customHeight="1" x14ac:dyDescent="0.25">
      <c r="A33" s="93">
        <v>21</v>
      </c>
      <c r="B33" s="89" t="s">
        <v>37</v>
      </c>
      <c r="C33" s="7">
        <v>4115.8</v>
      </c>
      <c r="D33" s="7">
        <v>4.2699999999999996</v>
      </c>
      <c r="E33" s="7">
        <v>4.2699999999999996</v>
      </c>
      <c r="F33" s="7">
        <v>0</v>
      </c>
      <c r="G33" s="7">
        <v>0</v>
      </c>
      <c r="H33" s="7">
        <f t="shared" si="1"/>
        <v>4120.0700000000006</v>
      </c>
      <c r="I33" s="7">
        <v>3.8</v>
      </c>
      <c r="J33" s="7">
        <v>0</v>
      </c>
      <c r="K33" s="7">
        <v>0</v>
      </c>
      <c r="L33" s="7">
        <v>0</v>
      </c>
      <c r="M33" s="7">
        <v>0</v>
      </c>
      <c r="N33" s="7">
        <f t="shared" si="2"/>
        <v>3.8</v>
      </c>
      <c r="O33" s="7" t="e">
        <f>#REF!</f>
        <v>#REF!</v>
      </c>
      <c r="P33" s="7">
        <v>0</v>
      </c>
      <c r="Q33" s="7">
        <v>0</v>
      </c>
      <c r="R33" s="7">
        <v>0</v>
      </c>
      <c r="S33" s="7">
        <v>0</v>
      </c>
      <c r="T33" s="7" t="e">
        <f t="shared" si="3"/>
        <v>#REF!</v>
      </c>
      <c r="U33" s="7" t="e">
        <f t="shared" si="7"/>
        <v>#REF!</v>
      </c>
    </row>
    <row r="34" spans="1:22" ht="17.25" customHeight="1" x14ac:dyDescent="0.25">
      <c r="A34" s="93">
        <v>22</v>
      </c>
      <c r="B34" s="89" t="s">
        <v>38</v>
      </c>
      <c r="C34" s="7">
        <v>5342.73</v>
      </c>
      <c r="D34" s="7">
        <v>24.33</v>
      </c>
      <c r="E34" s="7">
        <v>24.33</v>
      </c>
      <c r="F34" s="7">
        <v>0</v>
      </c>
      <c r="G34" s="7">
        <v>0</v>
      </c>
      <c r="H34" s="7">
        <f t="shared" si="1"/>
        <v>5367.0599999999995</v>
      </c>
      <c r="I34" s="7">
        <v>2</v>
      </c>
      <c r="J34" s="7">
        <v>0</v>
      </c>
      <c r="K34" s="7">
        <v>0</v>
      </c>
      <c r="L34" s="7">
        <v>0</v>
      </c>
      <c r="M34" s="7">
        <v>0</v>
      </c>
      <c r="N34" s="7">
        <f t="shared" si="2"/>
        <v>2</v>
      </c>
      <c r="O34" s="7" t="e">
        <f>#REF!</f>
        <v>#REF!</v>
      </c>
      <c r="P34" s="7">
        <v>0</v>
      </c>
      <c r="Q34" s="7">
        <v>0</v>
      </c>
      <c r="R34" s="7">
        <v>0</v>
      </c>
      <c r="S34" s="7">
        <v>0</v>
      </c>
      <c r="T34" s="7" t="e">
        <f t="shared" si="3"/>
        <v>#REF!</v>
      </c>
      <c r="U34" s="7" t="e">
        <f t="shared" si="7"/>
        <v>#REF!</v>
      </c>
    </row>
    <row r="35" spans="1:22" s="16" customFormat="1" ht="24" customHeight="1" x14ac:dyDescent="0.25">
      <c r="A35" s="93">
        <v>23</v>
      </c>
      <c r="B35" s="89" t="s">
        <v>39</v>
      </c>
      <c r="C35" s="7">
        <v>2634.14</v>
      </c>
      <c r="D35" s="7">
        <v>2.29</v>
      </c>
      <c r="E35" s="7">
        <v>2.29</v>
      </c>
      <c r="F35" s="7">
        <v>0</v>
      </c>
      <c r="G35" s="7">
        <v>0</v>
      </c>
      <c r="H35" s="7">
        <f t="shared" si="1"/>
        <v>2636.43</v>
      </c>
      <c r="I35" s="7">
        <v>11.33</v>
      </c>
      <c r="J35" s="7">
        <v>0</v>
      </c>
      <c r="K35" s="7">
        <v>0</v>
      </c>
      <c r="L35" s="7">
        <v>0</v>
      </c>
      <c r="M35" s="7">
        <v>0</v>
      </c>
      <c r="N35" s="7">
        <f t="shared" si="2"/>
        <v>11.33</v>
      </c>
      <c r="O35" s="7" t="e">
        <f>#REF!</f>
        <v>#REF!</v>
      </c>
      <c r="P35" s="7">
        <v>0</v>
      </c>
      <c r="Q35" s="7">
        <v>0</v>
      </c>
      <c r="R35" s="7">
        <v>0</v>
      </c>
      <c r="S35" s="7">
        <v>0</v>
      </c>
      <c r="T35" s="7" t="e">
        <f t="shared" si="3"/>
        <v>#REF!</v>
      </c>
      <c r="U35" s="7" t="e">
        <f t="shared" si="7"/>
        <v>#REF!</v>
      </c>
      <c r="V35" s="94"/>
    </row>
    <row r="36" spans="1:22" s="16" customFormat="1" ht="24.75" customHeight="1" x14ac:dyDescent="0.25">
      <c r="A36" s="93">
        <v>24</v>
      </c>
      <c r="B36" s="89" t="s">
        <v>40</v>
      </c>
      <c r="C36" s="7">
        <v>4658.1400000000003</v>
      </c>
      <c r="D36" s="7">
        <v>138.77000000000001</v>
      </c>
      <c r="E36" s="7">
        <v>138.77000000000001</v>
      </c>
      <c r="F36" s="7">
        <v>0</v>
      </c>
      <c r="G36" s="7">
        <v>0</v>
      </c>
      <c r="H36" s="7">
        <f t="shared" si="1"/>
        <v>4796.9100000000008</v>
      </c>
      <c r="I36" s="7">
        <v>3.46</v>
      </c>
      <c r="J36" s="7">
        <v>0</v>
      </c>
      <c r="K36" s="7">
        <v>0</v>
      </c>
      <c r="L36" s="7">
        <v>0</v>
      </c>
      <c r="M36" s="7">
        <v>0</v>
      </c>
      <c r="N36" s="7">
        <f t="shared" si="2"/>
        <v>3.46</v>
      </c>
      <c r="O36" s="7" t="e">
        <f>#REF!</f>
        <v>#REF!</v>
      </c>
      <c r="P36" s="7">
        <v>0</v>
      </c>
      <c r="Q36" s="7">
        <v>0</v>
      </c>
      <c r="R36" s="7">
        <v>0</v>
      </c>
      <c r="S36" s="7">
        <v>0</v>
      </c>
      <c r="T36" s="7" t="e">
        <f t="shared" si="3"/>
        <v>#REF!</v>
      </c>
      <c r="U36" s="7" t="e">
        <f t="shared" si="7"/>
        <v>#REF!</v>
      </c>
      <c r="V36" s="94"/>
    </row>
    <row r="37" spans="1:22" ht="23.25" customHeight="1" x14ac:dyDescent="0.25">
      <c r="A37" s="92"/>
      <c r="B37" s="87" t="s">
        <v>41</v>
      </c>
      <c r="C37" s="55">
        <f>SUM(C33:C36)</f>
        <v>16750.809999999998</v>
      </c>
      <c r="D37" s="14">
        <f>SUM(D33:D36)</f>
        <v>169.66</v>
      </c>
      <c r="E37" s="14">
        <f>SUM(E33:E36)</f>
        <v>169.66</v>
      </c>
      <c r="F37" s="14">
        <f>SUM(F33:F36)</f>
        <v>0</v>
      </c>
      <c r="G37" s="14">
        <f>SUM(G33:G36)</f>
        <v>0</v>
      </c>
      <c r="H37" s="55">
        <f t="shared" si="1"/>
        <v>16920.469999999998</v>
      </c>
      <c r="I37" s="14">
        <f>SUM(I33:I36)</f>
        <v>20.59</v>
      </c>
      <c r="J37" s="14">
        <f t="shared" ref="J37:S37" si="11">SUM(J33:J36)</f>
        <v>0</v>
      </c>
      <c r="K37" s="14">
        <f t="shared" si="11"/>
        <v>0</v>
      </c>
      <c r="L37" s="14">
        <f t="shared" si="11"/>
        <v>0</v>
      </c>
      <c r="M37" s="14">
        <f t="shared" si="11"/>
        <v>0</v>
      </c>
      <c r="N37" s="55">
        <f t="shared" si="2"/>
        <v>20.59</v>
      </c>
      <c r="O37" s="14" t="e">
        <f>SUM(O33:O36)</f>
        <v>#REF!</v>
      </c>
      <c r="P37" s="14">
        <f t="shared" si="11"/>
        <v>0</v>
      </c>
      <c r="Q37" s="14">
        <f t="shared" si="11"/>
        <v>0</v>
      </c>
      <c r="R37" s="14">
        <f t="shared" si="11"/>
        <v>0</v>
      </c>
      <c r="S37" s="14">
        <f t="shared" si="11"/>
        <v>0</v>
      </c>
      <c r="T37" s="14" t="e">
        <f t="shared" si="3"/>
        <v>#REF!</v>
      </c>
      <c r="U37" s="55" t="e">
        <f t="shared" si="7"/>
        <v>#REF!</v>
      </c>
    </row>
    <row r="38" spans="1:22" ht="21.75" customHeight="1" x14ac:dyDescent="0.25">
      <c r="A38" s="92"/>
      <c r="B38" s="92" t="s">
        <v>42</v>
      </c>
      <c r="C38" s="14">
        <f>C37+C32+C27</f>
        <v>37739.009999999995</v>
      </c>
      <c r="D38" s="14">
        <f t="shared" ref="D38:U38" si="12">D37+D32+D27</f>
        <v>290.3</v>
      </c>
      <c r="E38" s="14">
        <f t="shared" si="12"/>
        <v>290.3</v>
      </c>
      <c r="F38" s="14">
        <f t="shared" si="12"/>
        <v>0</v>
      </c>
      <c r="G38" s="14">
        <f t="shared" si="12"/>
        <v>0</v>
      </c>
      <c r="H38" s="14">
        <f t="shared" si="12"/>
        <v>38029.31</v>
      </c>
      <c r="I38" s="14">
        <f t="shared" si="12"/>
        <v>909.53</v>
      </c>
      <c r="J38" s="14">
        <f t="shared" si="12"/>
        <v>1.9900000000000002</v>
      </c>
      <c r="K38" s="14">
        <f t="shared" si="12"/>
        <v>1.9900000000000002</v>
      </c>
      <c r="L38" s="14">
        <f t="shared" si="12"/>
        <v>0</v>
      </c>
      <c r="M38" s="14">
        <f t="shared" si="12"/>
        <v>0</v>
      </c>
      <c r="N38" s="14">
        <f t="shared" si="12"/>
        <v>911.52</v>
      </c>
      <c r="O38" s="14" t="e">
        <f t="shared" si="12"/>
        <v>#REF!</v>
      </c>
      <c r="P38" s="14">
        <f t="shared" si="12"/>
        <v>0</v>
      </c>
      <c r="Q38" s="14">
        <f t="shared" si="12"/>
        <v>0</v>
      </c>
      <c r="R38" s="14">
        <f t="shared" si="12"/>
        <v>0</v>
      </c>
      <c r="S38" s="14">
        <f t="shared" si="12"/>
        <v>0</v>
      </c>
      <c r="T38" s="14" t="e">
        <f t="shared" si="12"/>
        <v>#REF!</v>
      </c>
      <c r="U38" s="14" t="e">
        <f t="shared" si="12"/>
        <v>#REF!</v>
      </c>
    </row>
    <row r="39" spans="1:22" ht="19.5" customHeight="1" x14ac:dyDescent="0.25">
      <c r="A39" s="93">
        <v>25</v>
      </c>
      <c r="B39" s="89" t="s">
        <v>43</v>
      </c>
      <c r="C39" s="7">
        <v>8535.51</v>
      </c>
      <c r="D39" s="7">
        <v>143.166</v>
      </c>
      <c r="E39" s="7">
        <v>143.16999999999999</v>
      </c>
      <c r="F39" s="7">
        <v>0</v>
      </c>
      <c r="G39" s="7">
        <v>0</v>
      </c>
      <c r="H39" s="7">
        <f t="shared" si="1"/>
        <v>8678.6759999999995</v>
      </c>
      <c r="I39" s="7" t="e">
        <f>#REF!</f>
        <v>#REF!</v>
      </c>
      <c r="J39" s="7">
        <v>0</v>
      </c>
      <c r="K39" s="7">
        <v>0</v>
      </c>
      <c r="L39" s="7">
        <v>0</v>
      </c>
      <c r="M39" s="7">
        <v>0</v>
      </c>
      <c r="N39" s="7" t="e">
        <f t="shared" si="2"/>
        <v>#REF!</v>
      </c>
      <c r="O39" s="7" t="e">
        <f>#REF!</f>
        <v>#REF!</v>
      </c>
      <c r="P39" s="7">
        <v>0</v>
      </c>
      <c r="Q39" s="7">
        <v>0</v>
      </c>
      <c r="R39" s="7">
        <v>0</v>
      </c>
      <c r="S39" s="7">
        <v>0</v>
      </c>
      <c r="T39" s="7" t="e">
        <f t="shared" si="3"/>
        <v>#REF!</v>
      </c>
      <c r="U39" s="7" t="e">
        <f t="shared" si="7"/>
        <v>#REF!</v>
      </c>
    </row>
    <row r="40" spans="1:22" ht="19.5" customHeight="1" x14ac:dyDescent="0.25">
      <c r="A40" s="93">
        <v>26</v>
      </c>
      <c r="B40" s="89" t="s">
        <v>44</v>
      </c>
      <c r="C40" s="7">
        <v>6857.44</v>
      </c>
      <c r="D40" s="7">
        <v>15.42</v>
      </c>
      <c r="E40" s="7">
        <v>15.42</v>
      </c>
      <c r="F40" s="7">
        <v>0</v>
      </c>
      <c r="G40" s="7">
        <v>0</v>
      </c>
      <c r="H40" s="7">
        <f t="shared" si="1"/>
        <v>6872.86</v>
      </c>
      <c r="I40" s="7" t="e">
        <f>#REF!</f>
        <v>#REF!</v>
      </c>
      <c r="J40" s="7">
        <v>0</v>
      </c>
      <c r="K40" s="7">
        <v>0</v>
      </c>
      <c r="L40" s="7">
        <v>0</v>
      </c>
      <c r="M40" s="7">
        <v>0</v>
      </c>
      <c r="N40" s="7" t="e">
        <f t="shared" si="2"/>
        <v>#REF!</v>
      </c>
      <c r="O40" s="7" t="e">
        <f>#REF!</f>
        <v>#REF!</v>
      </c>
      <c r="P40" s="7">
        <v>0</v>
      </c>
      <c r="Q40" s="7">
        <v>0</v>
      </c>
      <c r="R40" s="7">
        <v>0</v>
      </c>
      <c r="S40" s="7">
        <v>0</v>
      </c>
      <c r="T40" s="7" t="e">
        <f t="shared" si="3"/>
        <v>#REF!</v>
      </c>
      <c r="U40" s="7" t="e">
        <f t="shared" si="7"/>
        <v>#REF!</v>
      </c>
    </row>
    <row r="41" spans="1:22" s="16" customFormat="1" ht="19.5" customHeight="1" x14ac:dyDescent="0.25">
      <c r="A41" s="93">
        <v>27</v>
      </c>
      <c r="B41" s="89" t="s">
        <v>45</v>
      </c>
      <c r="C41" s="7">
        <v>12052.21</v>
      </c>
      <c r="D41" s="7">
        <v>64.959999999999994</v>
      </c>
      <c r="E41" s="7">
        <v>64.959999999999994</v>
      </c>
      <c r="F41" s="7">
        <v>0</v>
      </c>
      <c r="G41" s="7">
        <v>0</v>
      </c>
      <c r="H41" s="7">
        <f t="shared" si="1"/>
        <v>12117.169999999998</v>
      </c>
      <c r="I41" s="7" t="e">
        <f>#REF!</f>
        <v>#REF!</v>
      </c>
      <c r="J41" s="7">
        <v>0</v>
      </c>
      <c r="K41" s="7">
        <v>0</v>
      </c>
      <c r="L41" s="7">
        <v>0</v>
      </c>
      <c r="M41" s="7">
        <v>0</v>
      </c>
      <c r="N41" s="7" t="e">
        <f t="shared" si="2"/>
        <v>#REF!</v>
      </c>
      <c r="O41" s="7" t="e">
        <f>#REF!</f>
        <v>#REF!</v>
      </c>
      <c r="P41" s="7">
        <v>0</v>
      </c>
      <c r="Q41" s="7">
        <v>0</v>
      </c>
      <c r="R41" s="7">
        <v>0</v>
      </c>
      <c r="S41" s="7">
        <v>0</v>
      </c>
      <c r="T41" s="7" t="e">
        <f t="shared" si="3"/>
        <v>#REF!</v>
      </c>
      <c r="U41" s="7" t="e">
        <f t="shared" si="7"/>
        <v>#REF!</v>
      </c>
      <c r="V41" s="94"/>
    </row>
    <row r="42" spans="1:22" ht="18.75" customHeight="1" x14ac:dyDescent="0.25">
      <c r="A42" s="93">
        <v>28</v>
      </c>
      <c r="B42" s="89" t="s">
        <v>63</v>
      </c>
      <c r="C42" s="7">
        <v>2497.88</v>
      </c>
      <c r="D42" s="100">
        <f>5.61+55.67</f>
        <v>61.28</v>
      </c>
      <c r="E42" s="7">
        <v>5.61</v>
      </c>
      <c r="F42" s="7">
        <v>0</v>
      </c>
      <c r="G42" s="7">
        <v>0</v>
      </c>
      <c r="H42" s="7">
        <f t="shared" si="1"/>
        <v>2559.1600000000003</v>
      </c>
      <c r="I42" s="7" t="e">
        <f>#REF!</f>
        <v>#REF!</v>
      </c>
      <c r="J42" s="100">
        <v>80.34</v>
      </c>
      <c r="K42" s="7">
        <v>0</v>
      </c>
      <c r="L42" s="7">
        <v>0</v>
      </c>
      <c r="M42" s="7">
        <v>0</v>
      </c>
      <c r="N42" s="7" t="e">
        <f t="shared" si="2"/>
        <v>#REF!</v>
      </c>
      <c r="O42" s="7" t="e">
        <f>#REF!</f>
        <v>#REF!</v>
      </c>
      <c r="P42" s="7">
        <v>0</v>
      </c>
      <c r="Q42" s="7">
        <v>0</v>
      </c>
      <c r="R42" s="7">
        <v>0</v>
      </c>
      <c r="S42" s="7">
        <v>0</v>
      </c>
      <c r="T42" s="7" t="e">
        <f t="shared" si="3"/>
        <v>#REF!</v>
      </c>
      <c r="U42" s="7" t="e">
        <f t="shared" si="7"/>
        <v>#REF!</v>
      </c>
    </row>
    <row r="43" spans="1:22" ht="21" customHeight="1" x14ac:dyDescent="0.25">
      <c r="A43" s="92"/>
      <c r="B43" s="92" t="s">
        <v>46</v>
      </c>
      <c r="C43" s="14">
        <f>SUM(C39:C42)</f>
        <v>29943.040000000001</v>
      </c>
      <c r="D43" s="14">
        <f>SUM(D39:D42)</f>
        <v>284.82600000000002</v>
      </c>
      <c r="E43" s="14">
        <f>SUM(E39:E42)</f>
        <v>229.15999999999997</v>
      </c>
      <c r="F43" s="14">
        <f>SUM(F39:F42)</f>
        <v>0</v>
      </c>
      <c r="G43" s="14">
        <f>SUM(G39:G42)</f>
        <v>0</v>
      </c>
      <c r="H43" s="14">
        <f t="shared" si="1"/>
        <v>30227.866000000002</v>
      </c>
      <c r="I43" s="14" t="e">
        <f>SUM(I39:I42)</f>
        <v>#REF!</v>
      </c>
      <c r="J43" s="14">
        <f t="shared" ref="J43:S43" si="13">SUM(J39:J42)</f>
        <v>80.34</v>
      </c>
      <c r="K43" s="14">
        <f t="shared" si="13"/>
        <v>0</v>
      </c>
      <c r="L43" s="14">
        <f>SUM(L39:L42)</f>
        <v>0</v>
      </c>
      <c r="M43" s="14">
        <f>SUM(M39:M42)</f>
        <v>0</v>
      </c>
      <c r="N43" s="14" t="e">
        <f>I43+(J43-L43)</f>
        <v>#REF!</v>
      </c>
      <c r="O43" s="14" t="e">
        <f>SUM(O39:O42)</f>
        <v>#REF!</v>
      </c>
      <c r="P43" s="14">
        <f t="shared" si="13"/>
        <v>0</v>
      </c>
      <c r="Q43" s="14">
        <f t="shared" si="13"/>
        <v>0</v>
      </c>
      <c r="R43" s="14">
        <f t="shared" si="13"/>
        <v>0</v>
      </c>
      <c r="S43" s="14">
        <f t="shared" si="13"/>
        <v>0</v>
      </c>
      <c r="T43" s="14" t="e">
        <f t="shared" si="3"/>
        <v>#REF!</v>
      </c>
      <c r="U43" s="14" t="e">
        <f t="shared" si="7"/>
        <v>#REF!</v>
      </c>
    </row>
    <row r="44" spans="1:22" ht="21.75" customHeight="1" x14ac:dyDescent="0.25">
      <c r="A44" s="93">
        <v>29</v>
      </c>
      <c r="B44" s="93" t="s">
        <v>47</v>
      </c>
      <c r="C44" s="7">
        <v>7518.61</v>
      </c>
      <c r="D44" s="7">
        <v>51.1721</v>
      </c>
      <c r="E44" s="7">
        <v>51.1721</v>
      </c>
      <c r="F44" s="7">
        <v>0</v>
      </c>
      <c r="G44" s="7">
        <v>0</v>
      </c>
      <c r="H44" s="7">
        <f t="shared" si="1"/>
        <v>7569.7820999999994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f t="shared" si="2"/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f t="shared" si="3"/>
        <v>0</v>
      </c>
      <c r="U44" s="7">
        <f t="shared" si="7"/>
        <v>7569.7820999999994</v>
      </c>
    </row>
    <row r="45" spans="1:22" ht="15.75" customHeight="1" x14ac:dyDescent="0.25">
      <c r="A45" s="93">
        <v>30</v>
      </c>
      <c r="B45" s="93" t="s">
        <v>48</v>
      </c>
      <c r="C45" s="7">
        <v>6531.46</v>
      </c>
      <c r="D45" s="7">
        <v>80.39500000000001</v>
      </c>
      <c r="E45" s="7">
        <v>80.39500000000001</v>
      </c>
      <c r="F45" s="7">
        <v>0</v>
      </c>
      <c r="G45" s="7">
        <v>0</v>
      </c>
      <c r="H45" s="7">
        <f t="shared" si="1"/>
        <v>6611.8550000000005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f t="shared" si="2"/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f t="shared" si="3"/>
        <v>0</v>
      </c>
      <c r="U45" s="7">
        <f t="shared" si="7"/>
        <v>6611.8550000000005</v>
      </c>
    </row>
    <row r="46" spans="1:22" s="16" customFormat="1" ht="27" customHeight="1" x14ac:dyDescent="0.25">
      <c r="A46" s="93">
        <v>31</v>
      </c>
      <c r="B46" s="93" t="s">
        <v>49</v>
      </c>
      <c r="C46" s="7">
        <v>7463.33</v>
      </c>
      <c r="D46" s="7">
        <v>36.6</v>
      </c>
      <c r="E46" s="7">
        <v>36.6</v>
      </c>
      <c r="F46" s="7">
        <v>0</v>
      </c>
      <c r="G46" s="7">
        <v>0</v>
      </c>
      <c r="H46" s="7">
        <f t="shared" si="1"/>
        <v>7499.93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 t="shared" si="2"/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f t="shared" si="3"/>
        <v>0</v>
      </c>
      <c r="U46" s="7">
        <f t="shared" si="7"/>
        <v>7499.93</v>
      </c>
      <c r="V46" s="94"/>
    </row>
    <row r="47" spans="1:22" s="16" customFormat="1" ht="24.75" customHeight="1" x14ac:dyDescent="0.25">
      <c r="A47" s="93">
        <v>32</v>
      </c>
      <c r="B47" s="89" t="s">
        <v>50</v>
      </c>
      <c r="C47" s="7">
        <v>6372.76</v>
      </c>
      <c r="D47" s="7">
        <v>141.32</v>
      </c>
      <c r="E47" s="7">
        <v>141.32</v>
      </c>
      <c r="F47" s="7">
        <v>0</v>
      </c>
      <c r="G47" s="7">
        <v>0</v>
      </c>
      <c r="H47" s="7">
        <f t="shared" si="1"/>
        <v>6514.08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f t="shared" si="2"/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f t="shared" si="3"/>
        <v>0</v>
      </c>
      <c r="U47" s="7">
        <f t="shared" si="7"/>
        <v>6514.08</v>
      </c>
      <c r="V47" s="94"/>
    </row>
    <row r="48" spans="1:22" s="16" customFormat="1" ht="31.5" customHeight="1" x14ac:dyDescent="0.25">
      <c r="A48" s="92"/>
      <c r="B48" s="92" t="s">
        <v>51</v>
      </c>
      <c r="C48" s="14">
        <f>SUM(C44:C47)</f>
        <v>27886.160000000003</v>
      </c>
      <c r="D48" s="14">
        <f t="shared" ref="D48:U48" si="14">SUM(D44:D47)</f>
        <v>309.4871</v>
      </c>
      <c r="E48" s="14">
        <f t="shared" si="14"/>
        <v>309.4871</v>
      </c>
      <c r="F48" s="14">
        <f t="shared" si="14"/>
        <v>0</v>
      </c>
      <c r="G48" s="14">
        <f t="shared" si="14"/>
        <v>0</v>
      </c>
      <c r="H48" s="14">
        <f t="shared" si="14"/>
        <v>28195.647100000002</v>
      </c>
      <c r="I48" s="14">
        <f t="shared" si="14"/>
        <v>0</v>
      </c>
      <c r="J48" s="14">
        <f t="shared" si="14"/>
        <v>0</v>
      </c>
      <c r="K48" s="14">
        <f t="shared" si="14"/>
        <v>0</v>
      </c>
      <c r="L48" s="14">
        <f t="shared" si="14"/>
        <v>0</v>
      </c>
      <c r="M48" s="14">
        <f t="shared" si="14"/>
        <v>0</v>
      </c>
      <c r="N48" s="14">
        <f t="shared" si="14"/>
        <v>0</v>
      </c>
      <c r="O48" s="14">
        <f t="shared" si="14"/>
        <v>0</v>
      </c>
      <c r="P48" s="14">
        <f t="shared" si="14"/>
        <v>0</v>
      </c>
      <c r="Q48" s="14">
        <f t="shared" si="14"/>
        <v>0</v>
      </c>
      <c r="R48" s="14">
        <f t="shared" si="14"/>
        <v>0</v>
      </c>
      <c r="S48" s="14">
        <f t="shared" si="14"/>
        <v>0</v>
      </c>
      <c r="T48" s="14">
        <f t="shared" si="14"/>
        <v>0</v>
      </c>
      <c r="U48" s="14">
        <f t="shared" si="14"/>
        <v>28195.647100000002</v>
      </c>
      <c r="V48" s="94"/>
    </row>
    <row r="49" spans="1:21" s="27" customFormat="1" ht="24" customHeight="1" x14ac:dyDescent="0.25">
      <c r="A49" s="92"/>
      <c r="B49" s="92" t="s">
        <v>52</v>
      </c>
      <c r="C49" s="14">
        <f>C48+C43</f>
        <v>57829.200000000004</v>
      </c>
      <c r="D49" s="14">
        <f>D48+D43</f>
        <v>594.31310000000008</v>
      </c>
      <c r="E49" s="88">
        <f>E48+E43</f>
        <v>538.64709999999991</v>
      </c>
      <c r="F49" s="14">
        <f t="shared" ref="F49:U49" si="15">F48+F43</f>
        <v>0</v>
      </c>
      <c r="G49" s="14">
        <f t="shared" si="15"/>
        <v>0</v>
      </c>
      <c r="H49" s="14">
        <f>H48+H43</f>
        <v>58423.513100000004</v>
      </c>
      <c r="I49" s="14" t="e">
        <f t="shared" si="15"/>
        <v>#REF!</v>
      </c>
      <c r="J49" s="14">
        <f t="shared" si="15"/>
        <v>80.34</v>
      </c>
      <c r="K49" s="14">
        <f t="shared" si="15"/>
        <v>0</v>
      </c>
      <c r="L49" s="14">
        <f t="shared" si="15"/>
        <v>0</v>
      </c>
      <c r="M49" s="14">
        <f t="shared" si="15"/>
        <v>0</v>
      </c>
      <c r="N49" s="14" t="e">
        <f t="shared" si="15"/>
        <v>#REF!</v>
      </c>
      <c r="O49" s="14" t="e">
        <f t="shared" si="15"/>
        <v>#REF!</v>
      </c>
      <c r="P49" s="14">
        <f t="shared" si="15"/>
        <v>0</v>
      </c>
      <c r="Q49" s="14">
        <f t="shared" si="15"/>
        <v>0</v>
      </c>
      <c r="R49" s="14">
        <f t="shared" si="15"/>
        <v>0</v>
      </c>
      <c r="S49" s="14">
        <f t="shared" si="15"/>
        <v>0</v>
      </c>
      <c r="T49" s="14" t="e">
        <f t="shared" si="15"/>
        <v>#REF!</v>
      </c>
      <c r="U49" s="14" t="e">
        <f t="shared" si="15"/>
        <v>#REF!</v>
      </c>
    </row>
    <row r="50" spans="1:21" s="29" customFormat="1" ht="24" customHeight="1" x14ac:dyDescent="0.25">
      <c r="A50" s="92"/>
      <c r="B50" s="92" t="s">
        <v>53</v>
      </c>
      <c r="C50" s="14" t="e">
        <f>C49+C38+C24</f>
        <v>#REF!</v>
      </c>
      <c r="D50" s="14">
        <f t="shared" ref="D50:U50" si="16">D49+D38+D24</f>
        <v>890.51310000000001</v>
      </c>
      <c r="E50" s="55">
        <f>E49+E38+E24</f>
        <v>834.84709999999984</v>
      </c>
      <c r="F50" s="14">
        <f t="shared" si="16"/>
        <v>0.1</v>
      </c>
      <c r="G50" s="14">
        <f t="shared" si="16"/>
        <v>0.1</v>
      </c>
      <c r="H50" s="14" t="e">
        <f t="shared" si="16"/>
        <v>#REF!</v>
      </c>
      <c r="I50" s="14" t="e">
        <f t="shared" si="16"/>
        <v>#REF!</v>
      </c>
      <c r="J50" s="14">
        <f t="shared" si="16"/>
        <v>89.2</v>
      </c>
      <c r="K50" s="55">
        <f t="shared" si="16"/>
        <v>8.86</v>
      </c>
      <c r="L50" s="14">
        <f t="shared" si="16"/>
        <v>0</v>
      </c>
      <c r="M50" s="14">
        <f t="shared" si="16"/>
        <v>0</v>
      </c>
      <c r="N50" s="14" t="e">
        <f t="shared" si="16"/>
        <v>#REF!</v>
      </c>
      <c r="O50" s="14" t="e">
        <f t="shared" si="16"/>
        <v>#REF!</v>
      </c>
      <c r="P50" s="14">
        <f t="shared" si="16"/>
        <v>147.89999999999998</v>
      </c>
      <c r="Q50" s="55">
        <f t="shared" si="16"/>
        <v>0.42</v>
      </c>
      <c r="R50" s="14">
        <f t="shared" si="16"/>
        <v>0</v>
      </c>
      <c r="S50" s="14">
        <f t="shared" si="16"/>
        <v>0</v>
      </c>
      <c r="T50" s="14" t="e">
        <f t="shared" si="16"/>
        <v>#REF!</v>
      </c>
      <c r="U50" s="14" t="e">
        <f t="shared" si="16"/>
        <v>#REF!</v>
      </c>
    </row>
    <row r="51" spans="1:21" s="27" customFormat="1" ht="24" customHeight="1" x14ac:dyDescent="0.25">
      <c r="C51" s="94">
        <f>101454.91-101399.24</f>
        <v>55.669999999998254</v>
      </c>
      <c r="D51" s="94"/>
      <c r="E51" s="70"/>
      <c r="F51" s="94"/>
      <c r="G51" s="70"/>
      <c r="H51" s="70"/>
      <c r="I51" s="94">
        <f>5576.89-5496.55</f>
        <v>80.340000000000146</v>
      </c>
      <c r="J51" s="94"/>
      <c r="K51" s="70"/>
      <c r="L51" s="94"/>
      <c r="M51" s="70"/>
      <c r="N51" s="70"/>
      <c r="O51" s="94">
        <f>796.77-649.27</f>
        <v>147.5</v>
      </c>
      <c r="P51" s="94"/>
      <c r="Q51" s="70"/>
      <c r="R51" s="94"/>
      <c r="S51" s="70"/>
      <c r="T51" s="70"/>
      <c r="U51" s="70"/>
    </row>
    <row r="52" spans="1:21" s="29" customFormat="1" ht="15.75" customHeight="1" x14ac:dyDescent="0.25">
      <c r="C52" s="30"/>
      <c r="D52" s="30"/>
      <c r="E52" s="69"/>
      <c r="F52" s="30"/>
      <c r="G52" s="69"/>
      <c r="H52" s="69"/>
      <c r="I52" s="30"/>
      <c r="J52" s="30"/>
      <c r="K52" s="69">
        <f>'[2]oct 2017'!K47+'[2]nov 17'!J47</f>
        <v>229.66300000000001</v>
      </c>
      <c r="L52" s="30"/>
      <c r="M52" s="69"/>
      <c r="N52" s="70"/>
      <c r="O52" s="30"/>
      <c r="P52" s="30"/>
      <c r="Q52" s="71">
        <f>'[2]oct 2017'!R47+'[2]nov 17'!Q47</f>
        <v>62.980000000000004</v>
      </c>
      <c r="R52" s="30"/>
      <c r="S52" s="69"/>
      <c r="T52" s="69"/>
      <c r="U52" s="30"/>
    </row>
    <row r="53" spans="1:21" s="27" customFormat="1" ht="15.75" customHeight="1" x14ac:dyDescent="0.25">
      <c r="B53" s="94"/>
      <c r="C53" s="203" t="s">
        <v>54</v>
      </c>
      <c r="D53" s="203"/>
      <c r="E53" s="203"/>
      <c r="F53" s="203"/>
      <c r="G53" s="203"/>
      <c r="H53" s="54"/>
      <c r="I53" s="94"/>
      <c r="J53" s="94">
        <f>D50+J50+P50-F50-L50-R50</f>
        <v>1127.5131000000001</v>
      </c>
      <c r="K53" s="94"/>
      <c r="L53" s="30" t="e">
        <f>#REF!+CIRCLE!E48+CIRCLE!K48+CIRCLE!Q48</f>
        <v>#REF!</v>
      </c>
      <c r="M53" s="94"/>
      <c r="N53" s="94"/>
      <c r="R53" s="94"/>
      <c r="U53" s="94"/>
    </row>
    <row r="54" spans="1:21" s="27" customFormat="1" ht="22.5" customHeight="1" x14ac:dyDescent="0.25">
      <c r="B54" s="94"/>
      <c r="C54" s="94"/>
      <c r="D54" s="203" t="s">
        <v>55</v>
      </c>
      <c r="E54" s="203"/>
      <c r="F54" s="203"/>
      <c r="G54" s="203"/>
      <c r="H54" s="67"/>
      <c r="I54" s="94"/>
      <c r="J54" s="53">
        <f>E50+K50+Q50-G50-M50-S50</f>
        <v>844.02709999999979</v>
      </c>
      <c r="K54" s="94"/>
      <c r="L54" s="94"/>
      <c r="M54" s="94"/>
      <c r="N54" s="94"/>
      <c r="R54" s="94"/>
      <c r="T54" s="94"/>
    </row>
    <row r="55" spans="1:21" ht="20.25" customHeight="1" x14ac:dyDescent="0.25">
      <c r="C55" s="72"/>
      <c r="D55" s="203" t="s">
        <v>56</v>
      </c>
      <c r="E55" s="203"/>
      <c r="F55" s="203"/>
      <c r="G55" s="203"/>
      <c r="H55" s="67"/>
      <c r="I55" s="73"/>
      <c r="J55" s="94" t="e">
        <f>H50+N50+T50</f>
        <v>#REF!</v>
      </c>
      <c r="K55" s="67"/>
      <c r="L55" s="67"/>
      <c r="M55" s="67"/>
      <c r="N55" s="67">
        <f>107828.57+844.02</f>
        <v>108672.59000000001</v>
      </c>
      <c r="P55" s="27"/>
      <c r="Q55" s="74"/>
      <c r="U55" s="74"/>
    </row>
    <row r="56" spans="1:21" ht="12.75" customHeight="1" x14ac:dyDescent="0.25">
      <c r="D56" s="68"/>
      <c r="E56" s="68"/>
      <c r="F56" s="72"/>
      <c r="G56" s="68"/>
      <c r="I56" s="77"/>
      <c r="J56" s="72"/>
      <c r="K56" s="67"/>
      <c r="L56" s="67"/>
      <c r="M56" s="67"/>
    </row>
    <row r="57" spans="1:21" ht="18" customHeight="1" x14ac:dyDescent="0.25">
      <c r="D57" s="68"/>
      <c r="E57" s="68"/>
      <c r="F57" s="68"/>
      <c r="G57" s="68"/>
      <c r="I57" s="77"/>
      <c r="J57" s="72"/>
      <c r="K57" s="67"/>
      <c r="L57" s="67" t="e">
        <f>N55-J55</f>
        <v>#REF!</v>
      </c>
      <c r="M57" s="78" t="e">
        <f>'[2]feb 18'!J54+#REF!</f>
        <v>#REF!</v>
      </c>
      <c r="N57" s="67"/>
      <c r="Q57" s="11"/>
      <c r="R57" s="11"/>
      <c r="S57" s="68"/>
      <c r="T57" s="11"/>
      <c r="U57" s="11"/>
    </row>
    <row r="58" spans="1:21" ht="27" customHeight="1" x14ac:dyDescent="0.25">
      <c r="B58" s="204" t="s">
        <v>57</v>
      </c>
      <c r="C58" s="204"/>
      <c r="D58" s="204"/>
      <c r="E58" s="204"/>
      <c r="F58" s="204"/>
      <c r="G58" s="16"/>
      <c r="H58" s="16"/>
      <c r="I58" s="79"/>
      <c r="J58" s="205">
        <f>'[2]aug 17'!J53+'[2]sep 17'!J51</f>
        <v>97392.012300000002</v>
      </c>
      <c r="K58" s="206"/>
      <c r="L58" s="206"/>
      <c r="M58" s="54"/>
      <c r="N58" s="16">
        <f>108672.59-108389.08</f>
        <v>283.50999999999476</v>
      </c>
      <c r="O58" s="16"/>
      <c r="P58" s="96"/>
      <c r="Q58" s="204" t="s">
        <v>58</v>
      </c>
      <c r="R58" s="204"/>
      <c r="S58" s="204"/>
      <c r="T58" s="204"/>
      <c r="U58" s="204"/>
    </row>
    <row r="59" spans="1:21" ht="23.25" customHeight="1" x14ac:dyDescent="0.25">
      <c r="B59" s="204" t="s">
        <v>59</v>
      </c>
      <c r="C59" s="204"/>
      <c r="D59" s="204"/>
      <c r="E59" s="204"/>
      <c r="F59" s="204"/>
      <c r="G59" s="16"/>
      <c r="H59" s="54"/>
      <c r="I59" s="80"/>
      <c r="J59" s="81"/>
      <c r="K59" s="95"/>
      <c r="L59" s="81"/>
      <c r="M59" s="16"/>
      <c r="N59" s="16"/>
      <c r="O59" s="16"/>
      <c r="P59" s="96"/>
      <c r="Q59" s="204" t="s">
        <v>59</v>
      </c>
      <c r="R59" s="204"/>
      <c r="S59" s="204"/>
      <c r="T59" s="204"/>
      <c r="U59" s="204"/>
    </row>
    <row r="60" spans="1:21" x14ac:dyDescent="0.25">
      <c r="F60" s="68"/>
      <c r="J60" s="202" t="s">
        <v>60</v>
      </c>
      <c r="K60" s="202"/>
      <c r="L60" s="202"/>
    </row>
    <row r="61" spans="1:21" x14ac:dyDescent="0.25">
      <c r="F61" s="68"/>
      <c r="G61" s="78">
        <f>'[2]oct 2017'!J53+'[2]nov 17'!J51</f>
        <v>98581.184299999994</v>
      </c>
      <c r="J61" s="81"/>
      <c r="K61" s="95"/>
      <c r="L61" s="81"/>
      <c r="N61" s="83">
        <f>'[2]sep 17'!J53+'[2]oct 2017'!J51</f>
        <v>97903.751300000004</v>
      </c>
    </row>
    <row r="62" spans="1:21" ht="24" customHeight="1" x14ac:dyDescent="0.25">
      <c r="J62" s="202" t="s">
        <v>61</v>
      </c>
      <c r="K62" s="202"/>
      <c r="L62" s="202"/>
    </row>
    <row r="63" spans="1:21" x14ac:dyDescent="0.25">
      <c r="G63" s="67"/>
      <c r="J63" s="202" t="s">
        <v>62</v>
      </c>
      <c r="K63" s="202"/>
      <c r="L63" s="202"/>
    </row>
    <row r="66" spans="3:21" x14ac:dyDescent="0.25">
      <c r="C66" s="67"/>
    </row>
    <row r="67" spans="3:21" x14ac:dyDescent="0.25">
      <c r="H67" s="84"/>
      <c r="I67" s="85"/>
      <c r="J67" s="84"/>
    </row>
    <row r="68" spans="3:21" x14ac:dyDescent="0.25">
      <c r="H68" s="84"/>
      <c r="I68" s="85"/>
      <c r="J68" s="84"/>
    </row>
    <row r="69" spans="3:21" x14ac:dyDescent="0.25">
      <c r="H69" s="78">
        <f>'[2]nov 17'!J53+'[2]dec 17'!J51</f>
        <v>98988.2883</v>
      </c>
      <c r="I69" s="85"/>
      <c r="J69" s="84"/>
    </row>
    <row r="70" spans="3:21" x14ac:dyDescent="0.25">
      <c r="H70" s="84"/>
      <c r="I70" s="85"/>
      <c r="J70" s="84"/>
    </row>
    <row r="71" spans="3:21" x14ac:dyDescent="0.25">
      <c r="H71" s="84"/>
      <c r="I71" s="85"/>
      <c r="J71" s="84"/>
    </row>
    <row r="72" spans="3:21" x14ac:dyDescent="0.25">
      <c r="I72" s="82">
        <f>261.37+72.57</f>
        <v>333.94</v>
      </c>
      <c r="P72" s="11"/>
      <c r="Q72" s="11"/>
      <c r="R72" s="11"/>
      <c r="S72" s="68"/>
      <c r="T72" s="11"/>
      <c r="U72" s="11"/>
    </row>
    <row r="73" spans="3:21" x14ac:dyDescent="0.25">
      <c r="I73" s="82">
        <f>78.17+53.54</f>
        <v>131.71</v>
      </c>
      <c r="P73" s="11"/>
      <c r="Q73" s="11"/>
      <c r="R73" s="11"/>
      <c r="S73" s="68"/>
      <c r="T73" s="11"/>
      <c r="U73" s="11"/>
    </row>
  </sheetData>
  <mergeCells count="31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Q58:U58"/>
    <mergeCell ref="B59:F59"/>
    <mergeCell ref="Q59:U59"/>
    <mergeCell ref="P5:Q5"/>
    <mergeCell ref="R5:S5"/>
    <mergeCell ref="T5:T6"/>
    <mergeCell ref="U5:U6"/>
    <mergeCell ref="C53:G53"/>
    <mergeCell ref="D54:G54"/>
    <mergeCell ref="H5:H6"/>
    <mergeCell ref="I5:I6"/>
    <mergeCell ref="J5:K5"/>
    <mergeCell ref="L5:M5"/>
    <mergeCell ref="N5:N6"/>
    <mergeCell ref="O5:O6"/>
    <mergeCell ref="J60:L60"/>
    <mergeCell ref="J62:L62"/>
    <mergeCell ref="J63:L63"/>
    <mergeCell ref="D55:G55"/>
    <mergeCell ref="B58:F58"/>
    <mergeCell ref="J58:L58"/>
  </mergeCells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60"/>
  <sheetViews>
    <sheetView topLeftCell="A10" zoomScale="74" zoomScaleNormal="74" workbookViewId="0">
      <selection activeCell="D3" sqref="D3:E3"/>
    </sheetView>
  </sheetViews>
  <sheetFormatPr defaultRowHeight="15" x14ac:dyDescent="0.3"/>
  <cols>
    <col min="1" max="1" width="5.7109375" style="3" customWidth="1"/>
    <col min="2" max="2" width="47.28515625" style="3" customWidth="1"/>
    <col min="3" max="3" width="22.85546875" style="3" hidden="1" customWidth="1"/>
    <col min="4" max="4" width="22.5703125" style="3" customWidth="1"/>
    <col min="5" max="5" width="25.140625" style="3" customWidth="1"/>
    <col min="6" max="6" width="20.140625" style="3" customWidth="1"/>
    <col min="7" max="7" width="9.140625" style="3"/>
    <col min="8" max="8" width="16.42578125" style="3" bestFit="1" customWidth="1"/>
    <col min="9" max="16384" width="9.140625" style="3"/>
  </cols>
  <sheetData>
    <row r="1" spans="1:6" ht="9.75" customHeight="1" x14ac:dyDescent="0.3">
      <c r="A1" s="215"/>
      <c r="B1" s="216"/>
      <c r="C1" s="216"/>
    </row>
    <row r="2" spans="1:6" s="4" customFormat="1" ht="18.75" customHeight="1" x14ac:dyDescent="0.25">
      <c r="A2" s="217" t="s">
        <v>1</v>
      </c>
      <c r="B2" s="217" t="s">
        <v>2</v>
      </c>
      <c r="C2" s="98" t="s">
        <v>3</v>
      </c>
    </row>
    <row r="3" spans="1:6" s="4" customFormat="1" ht="19.5" customHeight="1" x14ac:dyDescent="0.25">
      <c r="A3" s="218"/>
      <c r="B3" s="218"/>
      <c r="C3" s="217" t="s">
        <v>6</v>
      </c>
      <c r="D3" s="106" t="s">
        <v>68</v>
      </c>
      <c r="E3" s="106" t="s">
        <v>69</v>
      </c>
    </row>
    <row r="4" spans="1:6" s="4" customFormat="1" ht="15.75" customHeight="1" x14ac:dyDescent="0.25">
      <c r="A4" s="219"/>
      <c r="B4" s="219"/>
      <c r="C4" s="219"/>
    </row>
    <row r="5" spans="1:6" s="11" customFormat="1" ht="19.5" customHeight="1" x14ac:dyDescent="0.25">
      <c r="A5" s="5">
        <v>1</v>
      </c>
      <c r="B5" s="6" t="s">
        <v>13</v>
      </c>
      <c r="C5" s="7">
        <v>134.02833333333334</v>
      </c>
      <c r="D5" s="76">
        <v>458.80999999999989</v>
      </c>
      <c r="E5" s="76">
        <v>192.87</v>
      </c>
      <c r="F5" s="11">
        <f>D5-E5</f>
        <v>265.93999999999988</v>
      </c>
    </row>
    <row r="6" spans="1:6" s="11" customFormat="1" ht="19.5" customHeight="1" x14ac:dyDescent="0.25">
      <c r="A6" s="5">
        <v>2</v>
      </c>
      <c r="B6" s="6" t="s">
        <v>65</v>
      </c>
      <c r="C6" s="7"/>
      <c r="D6" s="76">
        <v>0</v>
      </c>
      <c r="E6" s="76">
        <v>265.93</v>
      </c>
      <c r="F6" s="11">
        <f t="shared" ref="F6:F50" si="0">D6-E6</f>
        <v>-265.93</v>
      </c>
    </row>
    <row r="7" spans="1:6" s="11" customFormat="1" ht="21.75" customHeight="1" x14ac:dyDescent="0.25">
      <c r="A7" s="5">
        <v>3</v>
      </c>
      <c r="B7" s="6" t="s">
        <v>14</v>
      </c>
      <c r="C7" s="7">
        <v>106.67333333333335</v>
      </c>
      <c r="D7" s="76">
        <v>309.7600000000001</v>
      </c>
      <c r="E7" s="76">
        <v>309.7600000000001</v>
      </c>
      <c r="F7" s="11">
        <f t="shared" si="0"/>
        <v>0</v>
      </c>
    </row>
    <row r="8" spans="1:6" s="11" customFormat="1" ht="17.25" customHeight="1" x14ac:dyDescent="0.25">
      <c r="A8" s="5">
        <v>4</v>
      </c>
      <c r="B8" s="6" t="s">
        <v>15</v>
      </c>
      <c r="C8" s="7">
        <v>2.0666666666666669</v>
      </c>
      <c r="D8" s="76">
        <v>7.36</v>
      </c>
      <c r="E8" s="76">
        <v>0</v>
      </c>
      <c r="F8" s="11">
        <f t="shared" si="0"/>
        <v>7.36</v>
      </c>
    </row>
    <row r="9" spans="1:6" s="16" customFormat="1" ht="19.5" customHeight="1" x14ac:dyDescent="0.25">
      <c r="A9" s="12"/>
      <c r="B9" s="13" t="s">
        <v>16</v>
      </c>
      <c r="C9" s="14">
        <v>242.76833333333335</v>
      </c>
      <c r="D9" s="27">
        <v>775.93</v>
      </c>
      <c r="E9" s="27">
        <v>768.56000000000017</v>
      </c>
      <c r="F9" s="11">
        <f t="shared" si="0"/>
        <v>7.3699999999997772</v>
      </c>
    </row>
    <row r="10" spans="1:6" s="11" customFormat="1" ht="25.5" customHeight="1" x14ac:dyDescent="0.25">
      <c r="A10" s="5">
        <v>5</v>
      </c>
      <c r="B10" s="6" t="s">
        <v>17</v>
      </c>
      <c r="C10" s="7">
        <v>545.01400000000001</v>
      </c>
      <c r="D10" s="76">
        <v>567.25999999999965</v>
      </c>
      <c r="E10" s="76">
        <v>567.24</v>
      </c>
      <c r="F10" s="11">
        <f t="shared" si="0"/>
        <v>1.999999999964075E-2</v>
      </c>
    </row>
    <row r="11" spans="1:6" s="11" customFormat="1" ht="19.5" customHeight="1" x14ac:dyDescent="0.25">
      <c r="A11" s="5">
        <v>6</v>
      </c>
      <c r="B11" s="6" t="s">
        <v>18</v>
      </c>
      <c r="C11" s="7">
        <v>102.32099999999998</v>
      </c>
      <c r="D11" s="76">
        <v>314.7600000000001</v>
      </c>
      <c r="E11" s="76">
        <v>314.7600000000001</v>
      </c>
      <c r="F11" s="11">
        <f t="shared" si="0"/>
        <v>0</v>
      </c>
    </row>
    <row r="12" spans="1:6" s="11" customFormat="1" ht="21" customHeight="1" x14ac:dyDescent="0.25">
      <c r="A12" s="5">
        <v>7</v>
      </c>
      <c r="B12" s="6" t="s">
        <v>19</v>
      </c>
      <c r="C12" s="7">
        <v>439.76333333333338</v>
      </c>
      <c r="D12" s="76">
        <v>1508.0699999999993</v>
      </c>
      <c r="E12" s="76">
        <v>1508.0699999999993</v>
      </c>
      <c r="F12" s="11">
        <f t="shared" si="0"/>
        <v>0</v>
      </c>
    </row>
    <row r="13" spans="1:6" s="16" customFormat="1" ht="19.5" customHeight="1" x14ac:dyDescent="0.25">
      <c r="A13" s="12"/>
      <c r="B13" s="13" t="s">
        <v>20</v>
      </c>
      <c r="C13" s="14">
        <v>1087.0983333333334</v>
      </c>
      <c r="D13" s="27">
        <v>2390.09</v>
      </c>
      <c r="E13" s="27">
        <v>2390.0699999999993</v>
      </c>
      <c r="F13" s="11">
        <f t="shared" si="0"/>
        <v>2.0000000000891305E-2</v>
      </c>
    </row>
    <row r="14" spans="1:6" s="11" customFormat="1" ht="21" customHeight="1" x14ac:dyDescent="0.25">
      <c r="A14" s="5">
        <v>8</v>
      </c>
      <c r="B14" s="6" t="s">
        <v>21</v>
      </c>
      <c r="C14" s="7">
        <v>540.85</v>
      </c>
      <c r="D14" s="76">
        <v>969.11200000000031</v>
      </c>
      <c r="E14" s="76">
        <v>968.202</v>
      </c>
      <c r="F14" s="11">
        <f t="shared" si="0"/>
        <v>0.91000000000030923</v>
      </c>
    </row>
    <row r="15" spans="1:6" s="24" customFormat="1" ht="21.75" customHeight="1" x14ac:dyDescent="0.25">
      <c r="A15" s="18">
        <v>9</v>
      </c>
      <c r="B15" s="19" t="s">
        <v>22</v>
      </c>
      <c r="C15" s="20">
        <v>65.2</v>
      </c>
      <c r="D15" s="102">
        <v>182.22</v>
      </c>
      <c r="E15" s="102">
        <v>197.16</v>
      </c>
      <c r="F15" s="11">
        <f t="shared" si="0"/>
        <v>-14.939999999999998</v>
      </c>
    </row>
    <row r="16" spans="1:6" s="11" customFormat="1" ht="21.75" customHeight="1" x14ac:dyDescent="0.25">
      <c r="A16" s="5">
        <v>10</v>
      </c>
      <c r="B16" s="6" t="s">
        <v>23</v>
      </c>
      <c r="C16" s="7">
        <v>126.64</v>
      </c>
      <c r="D16" s="76">
        <v>203.32000000000005</v>
      </c>
      <c r="E16" s="76">
        <v>188.01499999999999</v>
      </c>
      <c r="F16" s="11">
        <f t="shared" si="0"/>
        <v>15.305000000000064</v>
      </c>
    </row>
    <row r="17" spans="1:8" s="16" customFormat="1" ht="19.5" customHeight="1" x14ac:dyDescent="0.25">
      <c r="A17" s="12"/>
      <c r="B17" s="13" t="s">
        <v>24</v>
      </c>
      <c r="C17" s="14">
        <v>732.69</v>
      </c>
      <c r="D17" s="27">
        <v>1354.6520000000003</v>
      </c>
      <c r="E17" s="27">
        <v>1353.377</v>
      </c>
      <c r="F17" s="11">
        <f t="shared" si="0"/>
        <v>1.2750000000003183</v>
      </c>
    </row>
    <row r="18" spans="1:8" s="11" customFormat="1" ht="19.5" customHeight="1" x14ac:dyDescent="0.25">
      <c r="A18" s="5">
        <v>11</v>
      </c>
      <c r="B18" s="6" t="s">
        <v>25</v>
      </c>
      <c r="C18" s="7">
        <v>135.3133333333333</v>
      </c>
      <c r="D18" s="76">
        <v>751.40999999999963</v>
      </c>
      <c r="E18" s="76">
        <v>749.14</v>
      </c>
      <c r="F18" s="11">
        <f t="shared" si="0"/>
        <v>2.2699999999996407</v>
      </c>
    </row>
    <row r="19" spans="1:8" s="11" customFormat="1" ht="21" customHeight="1" x14ac:dyDescent="0.25">
      <c r="A19" s="5">
        <v>12</v>
      </c>
      <c r="B19" s="6" t="s">
        <v>26</v>
      </c>
      <c r="C19" s="7">
        <v>33.798333333333325</v>
      </c>
      <c r="D19" s="76">
        <v>120.98999999999998</v>
      </c>
      <c r="E19" s="76">
        <v>119.97</v>
      </c>
      <c r="F19" s="11">
        <f t="shared" si="0"/>
        <v>1.0199999999999818</v>
      </c>
    </row>
    <row r="20" spans="1:8" s="11" customFormat="1" ht="17.25" customHeight="1" x14ac:dyDescent="0.25">
      <c r="A20" s="5">
        <v>13</v>
      </c>
      <c r="B20" s="25" t="s">
        <v>27</v>
      </c>
      <c r="C20" s="7">
        <v>261.95499999999998</v>
      </c>
      <c r="D20" s="76">
        <v>450.7299999999999</v>
      </c>
      <c r="E20" s="76">
        <v>449.91</v>
      </c>
      <c r="F20" s="11">
        <f t="shared" si="0"/>
        <v>0.81999999999987949</v>
      </c>
    </row>
    <row r="21" spans="1:8" s="16" customFormat="1" ht="25.5" customHeight="1" x14ac:dyDescent="0.25">
      <c r="A21" s="12"/>
      <c r="B21" s="13" t="s">
        <v>28</v>
      </c>
      <c r="C21" s="14">
        <v>431.06666666666661</v>
      </c>
      <c r="D21" s="27">
        <v>1323.1299999999997</v>
      </c>
      <c r="E21" s="27">
        <v>1319.02</v>
      </c>
      <c r="F21" s="11">
        <f t="shared" si="0"/>
        <v>4.1099999999996726</v>
      </c>
    </row>
    <row r="22" spans="1:8" s="16" customFormat="1" ht="19.5" customHeight="1" x14ac:dyDescent="0.25">
      <c r="A22" s="12"/>
      <c r="B22" s="13" t="s">
        <v>29</v>
      </c>
      <c r="C22" s="14">
        <v>2493.6233333333334</v>
      </c>
      <c r="D22" s="27">
        <v>5843.8019999999988</v>
      </c>
      <c r="E22" s="27">
        <v>5831.0269999999991</v>
      </c>
      <c r="F22" s="11">
        <f t="shared" si="0"/>
        <v>12.774999999999636</v>
      </c>
    </row>
    <row r="23" spans="1:8" s="11" customFormat="1" ht="18" customHeight="1" x14ac:dyDescent="0.25">
      <c r="A23" s="5">
        <v>14</v>
      </c>
      <c r="B23" s="6" t="s">
        <v>30</v>
      </c>
      <c r="C23" s="7">
        <v>4616.42</v>
      </c>
      <c r="D23" s="76">
        <v>6839.2820000000011</v>
      </c>
      <c r="E23" s="105">
        <v>4000.8</v>
      </c>
      <c r="F23" s="104">
        <f t="shared" si="0"/>
        <v>2838.4820000000009</v>
      </c>
      <c r="H23" s="11">
        <f>F23/11</f>
        <v>258.04381818181827</v>
      </c>
    </row>
    <row r="24" spans="1:8" s="11" customFormat="1" ht="27" customHeight="1" x14ac:dyDescent="0.25">
      <c r="A24" s="5">
        <v>15</v>
      </c>
      <c r="B24" s="6" t="s">
        <v>31</v>
      </c>
      <c r="C24" s="7">
        <v>4148.41</v>
      </c>
      <c r="D24" s="76">
        <v>4883.670000000001</v>
      </c>
      <c r="E24" s="76">
        <v>4869.3599999999997</v>
      </c>
      <c r="F24" s="11">
        <f t="shared" si="0"/>
        <v>14.31000000000131</v>
      </c>
      <c r="H24" s="11">
        <f t="shared" ref="H24:H50" si="1">F24/11</f>
        <v>1.30090909090921</v>
      </c>
    </row>
    <row r="25" spans="1:8" s="16" customFormat="1" ht="19.5" customHeight="1" x14ac:dyDescent="0.25">
      <c r="A25" s="12"/>
      <c r="B25" s="26" t="s">
        <v>32</v>
      </c>
      <c r="C25" s="14"/>
      <c r="D25" s="27">
        <v>11722.951999999999</v>
      </c>
      <c r="E25" s="27">
        <v>8870.16</v>
      </c>
      <c r="F25" s="11">
        <f t="shared" si="0"/>
        <v>2852.7919999999995</v>
      </c>
      <c r="H25" s="11">
        <f t="shared" si="1"/>
        <v>259.3447272727272</v>
      </c>
    </row>
    <row r="26" spans="1:8" s="11" customFormat="1" ht="19.5" customHeight="1" x14ac:dyDescent="0.25">
      <c r="A26" s="5">
        <v>16</v>
      </c>
      <c r="B26" s="6" t="s">
        <v>33</v>
      </c>
      <c r="C26" s="7">
        <v>4270.66</v>
      </c>
      <c r="D26" s="76">
        <v>3522.2129999999997</v>
      </c>
      <c r="E26" s="76">
        <v>2978.1</v>
      </c>
      <c r="F26" s="11">
        <f t="shared" si="0"/>
        <v>544.11299999999983</v>
      </c>
      <c r="H26" s="11">
        <f t="shared" si="1"/>
        <v>49.464818181818167</v>
      </c>
    </row>
    <row r="27" spans="1:8" s="11" customFormat="1" ht="19.5" customHeight="1" x14ac:dyDescent="0.25">
      <c r="A27" s="5">
        <v>17</v>
      </c>
      <c r="B27" s="6" t="s">
        <v>64</v>
      </c>
      <c r="C27" s="7"/>
      <c r="D27" s="76">
        <v>191.851</v>
      </c>
      <c r="E27" s="76">
        <v>3034.84</v>
      </c>
      <c r="F27" s="11">
        <f t="shared" si="0"/>
        <v>-2842.989</v>
      </c>
      <c r="H27" s="11">
        <f t="shared" si="1"/>
        <v>-258.45354545454546</v>
      </c>
    </row>
    <row r="28" spans="1:8" s="11" customFormat="1" ht="21.75" customHeight="1" x14ac:dyDescent="0.25">
      <c r="A28" s="5">
        <v>18</v>
      </c>
      <c r="B28" s="6" t="s">
        <v>34</v>
      </c>
      <c r="C28" s="7"/>
      <c r="D28" s="76">
        <v>3821.0410000000002</v>
      </c>
      <c r="E28" s="76">
        <v>3800.72</v>
      </c>
      <c r="F28" s="11">
        <f t="shared" si="0"/>
        <v>20.321000000000367</v>
      </c>
      <c r="H28" s="11">
        <f t="shared" si="1"/>
        <v>1.8473636363636698</v>
      </c>
    </row>
    <row r="29" spans="1:8" s="11" customFormat="1" ht="20.25" customHeight="1" x14ac:dyDescent="0.25">
      <c r="A29" s="5">
        <v>19</v>
      </c>
      <c r="B29" s="6" t="s">
        <v>35</v>
      </c>
      <c r="C29" s="7">
        <v>1997.83</v>
      </c>
      <c r="D29" s="76">
        <v>2370.2332999999999</v>
      </c>
      <c r="E29" s="76">
        <v>2304.38</v>
      </c>
      <c r="F29" s="11">
        <f t="shared" si="0"/>
        <v>65.853299999999763</v>
      </c>
      <c r="H29" s="11">
        <f t="shared" si="1"/>
        <v>5.9866636363636152</v>
      </c>
    </row>
    <row r="30" spans="1:8" s="16" customFormat="1" ht="24.75" customHeight="1" x14ac:dyDescent="0.25">
      <c r="A30" s="12"/>
      <c r="B30" s="13" t="s">
        <v>36</v>
      </c>
      <c r="C30" s="14">
        <v>15033.32</v>
      </c>
      <c r="D30" s="27">
        <v>9905.3382999999958</v>
      </c>
      <c r="E30" s="27">
        <v>12118.04</v>
      </c>
      <c r="F30" s="11">
        <f t="shared" si="0"/>
        <v>-2212.7017000000051</v>
      </c>
      <c r="H30" s="11">
        <f t="shared" si="1"/>
        <v>-201.15470000000047</v>
      </c>
    </row>
    <row r="31" spans="1:8" s="11" customFormat="1" ht="23.25" customHeight="1" x14ac:dyDescent="0.25">
      <c r="A31" s="5">
        <v>20</v>
      </c>
      <c r="B31" s="6" t="s">
        <v>37</v>
      </c>
      <c r="C31" s="7">
        <v>3431.66</v>
      </c>
      <c r="D31" s="76">
        <v>4087.4999999999995</v>
      </c>
      <c r="E31" s="76">
        <v>4115.8</v>
      </c>
      <c r="F31" s="11">
        <f t="shared" si="0"/>
        <v>-28.300000000000637</v>
      </c>
      <c r="H31" s="11">
        <f t="shared" si="1"/>
        <v>-2.5727272727273305</v>
      </c>
    </row>
    <row r="32" spans="1:8" s="11" customFormat="1" ht="20.25" customHeight="1" x14ac:dyDescent="0.25">
      <c r="A32" s="5">
        <v>21</v>
      </c>
      <c r="B32" s="6" t="s">
        <v>38</v>
      </c>
      <c r="C32" s="7">
        <v>3857.4</v>
      </c>
      <c r="D32" s="76">
        <v>5309.0399999999981</v>
      </c>
      <c r="E32" s="76">
        <v>5342.73</v>
      </c>
      <c r="F32" s="11">
        <f t="shared" si="0"/>
        <v>-33.690000000001419</v>
      </c>
      <c r="H32" s="11">
        <f t="shared" si="1"/>
        <v>-3.0627272727274018</v>
      </c>
    </row>
    <row r="33" spans="1:8" s="11" customFormat="1" ht="21.75" customHeight="1" x14ac:dyDescent="0.25">
      <c r="A33" s="5">
        <v>22</v>
      </c>
      <c r="B33" s="6" t="s">
        <v>39</v>
      </c>
      <c r="C33" s="7">
        <v>2025.29</v>
      </c>
      <c r="D33" s="76">
        <v>2609.31</v>
      </c>
      <c r="E33" s="76">
        <v>2634.14</v>
      </c>
      <c r="F33" s="11">
        <f t="shared" si="0"/>
        <v>-24.829999999999927</v>
      </c>
      <c r="H33" s="11">
        <f t="shared" si="1"/>
        <v>-2.2572727272727207</v>
      </c>
    </row>
    <row r="34" spans="1:8" s="11" customFormat="1" ht="17.25" customHeight="1" x14ac:dyDescent="0.25">
      <c r="A34" s="5">
        <v>23</v>
      </c>
      <c r="B34" s="6" t="s">
        <v>40</v>
      </c>
      <c r="C34" s="7">
        <v>2997.81</v>
      </c>
      <c r="D34" s="76">
        <v>4432.42</v>
      </c>
      <c r="E34" s="76">
        <v>4658.1400000000003</v>
      </c>
      <c r="F34" s="11">
        <f t="shared" si="0"/>
        <v>-225.72000000000025</v>
      </c>
      <c r="H34" s="11">
        <f t="shared" si="1"/>
        <v>-20.520000000000024</v>
      </c>
    </row>
    <row r="35" spans="1:8" s="16" customFormat="1" ht="24" customHeight="1" x14ac:dyDescent="0.25">
      <c r="A35" s="12"/>
      <c r="B35" s="13" t="s">
        <v>41</v>
      </c>
      <c r="C35" s="14">
        <v>12312.159999999998</v>
      </c>
      <c r="D35" s="27">
        <v>16430.55</v>
      </c>
      <c r="E35" s="27">
        <v>16750.809999999998</v>
      </c>
      <c r="F35" s="11">
        <f t="shared" si="0"/>
        <v>-320.2599999999984</v>
      </c>
      <c r="H35" s="11">
        <f t="shared" si="1"/>
        <v>-29.114545454545308</v>
      </c>
    </row>
    <row r="36" spans="1:8" s="16" customFormat="1" ht="24.75" customHeight="1" x14ac:dyDescent="0.25">
      <c r="A36" s="12"/>
      <c r="B36" s="13" t="s">
        <v>42</v>
      </c>
      <c r="C36" s="14">
        <v>27345.479999999996</v>
      </c>
      <c r="D36" s="27">
        <v>38058.840299999996</v>
      </c>
      <c r="E36" s="27">
        <v>37739.009999999995</v>
      </c>
      <c r="F36" s="11">
        <f t="shared" si="0"/>
        <v>319.83030000000144</v>
      </c>
      <c r="H36" s="11">
        <f t="shared" si="1"/>
        <v>29.075481818181949</v>
      </c>
    </row>
    <row r="37" spans="1:8" s="11" customFormat="1" ht="23.25" customHeight="1" x14ac:dyDescent="0.25">
      <c r="A37" s="5">
        <v>24</v>
      </c>
      <c r="B37" s="6" t="s">
        <v>43</v>
      </c>
      <c r="C37" s="7">
        <v>2519.0973333333336</v>
      </c>
      <c r="D37" s="76">
        <v>9963.7089999999989</v>
      </c>
      <c r="E37" s="76">
        <v>8535.51</v>
      </c>
      <c r="F37" s="11">
        <f t="shared" si="0"/>
        <v>1428.1989999999987</v>
      </c>
      <c r="H37" s="11">
        <f t="shared" si="1"/>
        <v>129.83627272727261</v>
      </c>
    </row>
    <row r="38" spans="1:8" s="11" customFormat="1" ht="21.75" customHeight="1" x14ac:dyDescent="0.25">
      <c r="A38" s="5">
        <v>25</v>
      </c>
      <c r="B38" s="6" t="s">
        <v>44</v>
      </c>
      <c r="C38" s="7">
        <v>1849.9516666666666</v>
      </c>
      <c r="D38" s="76">
        <v>6817.3259999999955</v>
      </c>
      <c r="E38" s="76">
        <v>6857.44</v>
      </c>
      <c r="F38" s="11">
        <f t="shared" si="0"/>
        <v>-40.114000000004125</v>
      </c>
      <c r="H38" s="11">
        <f t="shared" si="1"/>
        <v>-3.6467272727276479</v>
      </c>
    </row>
    <row r="39" spans="1:8" s="11" customFormat="1" ht="19.5" customHeight="1" x14ac:dyDescent="0.25">
      <c r="A39" s="5">
        <v>26</v>
      </c>
      <c r="B39" s="6" t="s">
        <v>45</v>
      </c>
      <c r="C39" s="7">
        <v>2835.8183333333332</v>
      </c>
      <c r="D39" s="76">
        <v>12410.020999999997</v>
      </c>
      <c r="E39" s="76">
        <v>12052.21</v>
      </c>
      <c r="F39" s="11">
        <f t="shared" si="0"/>
        <v>357.81099999999788</v>
      </c>
      <c r="H39" s="11">
        <f t="shared" si="1"/>
        <v>32.528272727272537</v>
      </c>
    </row>
    <row r="40" spans="1:8" s="11" customFormat="1" ht="19.5" customHeight="1" x14ac:dyDescent="0.25">
      <c r="A40" s="5">
        <v>27</v>
      </c>
      <c r="B40" s="6" t="s">
        <v>63</v>
      </c>
      <c r="C40" s="7"/>
      <c r="D40" s="76">
        <v>618.97</v>
      </c>
      <c r="E40" s="76">
        <v>2497.88</v>
      </c>
      <c r="F40" s="11">
        <f t="shared" si="0"/>
        <v>-1878.91</v>
      </c>
      <c r="H40" s="11">
        <f t="shared" si="1"/>
        <v>-170.81</v>
      </c>
    </row>
    <row r="41" spans="1:8" s="16" customFormat="1" ht="19.5" customHeight="1" x14ac:dyDescent="0.25">
      <c r="A41" s="12"/>
      <c r="B41" s="13" t="s">
        <v>46</v>
      </c>
      <c r="C41" s="14">
        <v>7204.8673333333336</v>
      </c>
      <c r="D41" s="27">
        <v>29810.025999999994</v>
      </c>
      <c r="E41" s="27">
        <v>29943.040000000001</v>
      </c>
      <c r="F41" s="11">
        <f t="shared" si="0"/>
        <v>-133.01400000000649</v>
      </c>
      <c r="H41" s="11">
        <f t="shared" si="1"/>
        <v>-12.092181818182409</v>
      </c>
    </row>
    <row r="42" spans="1:8" s="11" customFormat="1" ht="18.75" customHeight="1" x14ac:dyDescent="0.25">
      <c r="A42" s="5">
        <v>28</v>
      </c>
      <c r="B42" s="6" t="s">
        <v>47</v>
      </c>
      <c r="C42" s="7">
        <v>1805.24</v>
      </c>
      <c r="D42" s="76">
        <v>7485.8500000000022</v>
      </c>
      <c r="E42" s="76">
        <v>7518.61</v>
      </c>
      <c r="F42" s="11">
        <f t="shared" si="0"/>
        <v>-32.75999999999749</v>
      </c>
      <c r="H42" s="11">
        <f t="shared" si="1"/>
        <v>-2.9781818181815898</v>
      </c>
    </row>
    <row r="43" spans="1:8" s="11" customFormat="1" ht="21" customHeight="1" x14ac:dyDescent="0.25">
      <c r="A43" s="5">
        <v>29</v>
      </c>
      <c r="B43" s="6" t="s">
        <v>48</v>
      </c>
      <c r="C43" s="7">
        <v>1445.46</v>
      </c>
      <c r="D43" s="76">
        <v>6653.5900000000011</v>
      </c>
      <c r="E43" s="76">
        <v>6531.46</v>
      </c>
      <c r="F43" s="11">
        <f t="shared" si="0"/>
        <v>122.13000000000102</v>
      </c>
      <c r="H43" s="11">
        <f t="shared" si="1"/>
        <v>11.102727272727366</v>
      </c>
    </row>
    <row r="44" spans="1:8" s="11" customFormat="1" ht="21.75" customHeight="1" x14ac:dyDescent="0.25">
      <c r="A44" s="5">
        <v>30</v>
      </c>
      <c r="B44" s="6" t="s">
        <v>49</v>
      </c>
      <c r="C44" s="7">
        <v>1814.93</v>
      </c>
      <c r="D44" s="76">
        <v>7456.5400000000009</v>
      </c>
      <c r="E44" s="76">
        <v>7463.33</v>
      </c>
      <c r="F44" s="11">
        <f t="shared" si="0"/>
        <v>-6.7899999999990541</v>
      </c>
      <c r="H44" s="11">
        <f t="shared" si="1"/>
        <v>-0.61727272727264126</v>
      </c>
    </row>
    <row r="45" spans="1:8" s="11" customFormat="1" ht="15.75" customHeight="1" x14ac:dyDescent="0.25">
      <c r="A45" s="5">
        <v>31</v>
      </c>
      <c r="B45" s="6" t="s">
        <v>50</v>
      </c>
      <c r="C45" s="7">
        <v>1723.79</v>
      </c>
      <c r="D45" s="76">
        <v>6146.26</v>
      </c>
      <c r="E45" s="76">
        <v>6372.76</v>
      </c>
      <c r="F45" s="11">
        <f t="shared" si="0"/>
        <v>-226.5</v>
      </c>
      <c r="H45" s="11">
        <f t="shared" si="1"/>
        <v>-20.59090909090909</v>
      </c>
    </row>
    <row r="46" spans="1:8" s="16" customFormat="1" ht="27" customHeight="1" x14ac:dyDescent="0.25">
      <c r="A46" s="12"/>
      <c r="B46" s="13" t="s">
        <v>51</v>
      </c>
      <c r="C46" s="15">
        <f>SUM(C42:C45)</f>
        <v>6789.42</v>
      </c>
      <c r="D46" s="27">
        <v>27742.240000000005</v>
      </c>
      <c r="E46" s="27">
        <v>27886.160000000003</v>
      </c>
      <c r="F46" s="11">
        <f t="shared" si="0"/>
        <v>-143.91999999999825</v>
      </c>
      <c r="H46" s="11">
        <f t="shared" si="1"/>
        <v>-13.083636363636204</v>
      </c>
    </row>
    <row r="47" spans="1:8" s="16" customFormat="1" ht="24.75" customHeight="1" x14ac:dyDescent="0.25">
      <c r="A47" s="12"/>
      <c r="B47" s="13" t="s">
        <v>52</v>
      </c>
      <c r="C47" s="15">
        <f>C41+C46</f>
        <v>13994.287333333334</v>
      </c>
      <c r="D47" s="27">
        <v>57552.266000000003</v>
      </c>
      <c r="E47" s="27">
        <v>57829.200000000004</v>
      </c>
      <c r="F47" s="11">
        <f t="shared" si="0"/>
        <v>-276.93400000000111</v>
      </c>
      <c r="H47" s="11">
        <f t="shared" si="1"/>
        <v>-25.175818181818283</v>
      </c>
    </row>
    <row r="48" spans="1:8" s="66" customFormat="1" ht="48" customHeight="1" x14ac:dyDescent="0.35">
      <c r="A48" s="63"/>
      <c r="B48" s="64" t="s">
        <v>53</v>
      </c>
      <c r="C48" s="65">
        <f>C47+C36+C22</f>
        <v>43833.390666666666</v>
      </c>
      <c r="D48" s="103">
        <v>101454.9083</v>
      </c>
      <c r="E48" s="103">
        <v>101399.23699999999</v>
      </c>
      <c r="F48" s="11">
        <f t="shared" si="0"/>
        <v>55.671300000001793</v>
      </c>
      <c r="H48" s="11">
        <f t="shared" si="1"/>
        <v>5.0610272727274355</v>
      </c>
    </row>
    <row r="49" spans="2:8" s="27" customFormat="1" ht="24" hidden="1" customHeight="1" x14ac:dyDescent="0.25">
      <c r="C49" s="99"/>
      <c r="E49" s="27">
        <v>101399.23699999999</v>
      </c>
      <c r="F49" s="11">
        <f t="shared" si="0"/>
        <v>-101399.23699999999</v>
      </c>
      <c r="H49" s="11">
        <f t="shared" si="1"/>
        <v>-9218.1124545454531</v>
      </c>
    </row>
    <row r="50" spans="2:8" s="29" customFormat="1" ht="24" hidden="1" customHeight="1" x14ac:dyDescent="0.25">
      <c r="C50" s="30"/>
      <c r="F50" s="11">
        <f t="shared" si="0"/>
        <v>0</v>
      </c>
      <c r="H50" s="11">
        <f t="shared" si="1"/>
        <v>0</v>
      </c>
    </row>
    <row r="51" spans="2:8" s="29" customFormat="1" ht="24" customHeight="1" x14ac:dyDescent="0.25">
      <c r="C51" s="30"/>
    </row>
    <row r="52" spans="2:8" s="27" customFormat="1" ht="15.75" customHeight="1" x14ac:dyDescent="0.25">
      <c r="B52" s="99"/>
      <c r="C52" s="97" t="s">
        <v>54</v>
      </c>
    </row>
    <row r="53" spans="2:8" s="27" customFormat="1" ht="22.5" customHeight="1" x14ac:dyDescent="0.25">
      <c r="B53" s="99"/>
      <c r="C53" s="97"/>
    </row>
    <row r="54" spans="2:8" ht="20.25" customHeight="1" x14ac:dyDescent="0.3">
      <c r="C54" s="35"/>
    </row>
    <row r="55" spans="2:8" ht="18" customHeight="1" x14ac:dyDescent="0.3"/>
    <row r="56" spans="2:8" ht="27" customHeight="1" x14ac:dyDescent="0.3">
      <c r="B56" s="214" t="s">
        <v>57</v>
      </c>
      <c r="C56" s="214"/>
    </row>
    <row r="57" spans="2:8" ht="23.25" customHeight="1" x14ac:dyDescent="0.3">
      <c r="B57" s="214" t="s">
        <v>59</v>
      </c>
      <c r="C57" s="214"/>
    </row>
    <row r="58" spans="2:8" ht="25.5" customHeight="1" x14ac:dyDescent="0.3"/>
    <row r="59" spans="2:8" ht="24" customHeight="1" x14ac:dyDescent="0.3"/>
    <row r="60" spans="2:8" ht="19.5" customHeight="1" x14ac:dyDescent="0.3"/>
  </sheetData>
  <mergeCells count="6">
    <mergeCell ref="B56:C56"/>
    <mergeCell ref="B57:C57"/>
    <mergeCell ref="A1:C1"/>
    <mergeCell ref="A2:A4"/>
    <mergeCell ref="B2:B4"/>
    <mergeCell ref="C3:C4"/>
  </mergeCells>
  <pageMargins left="0.70866141732283472" right="0.70866141732283472" top="0.74803149606299213" bottom="0.74803149606299213" header="0.31496062992125984" footer="0.31496062992125984"/>
  <pageSetup paperSize="8" scale="5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2"/>
  <sheetViews>
    <sheetView workbookViewId="0">
      <pane ySplit="6" topLeftCell="A46" activePane="bottomLeft" state="frozen"/>
      <selection pane="bottomLeft" activeCell="J15" sqref="J15"/>
    </sheetView>
  </sheetViews>
  <sheetFormatPr defaultRowHeight="15" x14ac:dyDescent="0.3"/>
  <cols>
    <col min="1" max="1" width="5.7109375" style="3" customWidth="1"/>
    <col min="2" max="2" width="32" style="3" customWidth="1"/>
    <col min="3" max="3" width="16" style="3" hidden="1" customWidth="1"/>
    <col min="4" max="4" width="16" style="3" customWidth="1"/>
    <col min="5" max="5" width="17.85546875" style="3" customWidth="1"/>
    <col min="6" max="6" width="14" style="3" customWidth="1"/>
    <col min="7" max="7" width="18.5703125" style="3" customWidth="1"/>
    <col min="8" max="8" width="19.85546875" style="3" customWidth="1"/>
    <col min="9" max="9" width="1.28515625" style="48" hidden="1" customWidth="1"/>
    <col min="10" max="10" width="19.85546875" style="3" customWidth="1"/>
    <col min="11" max="11" width="14.28515625" style="3" customWidth="1"/>
    <col min="12" max="12" width="16.28515625" style="3" customWidth="1"/>
    <col min="13" max="13" width="19.5703125" style="3" customWidth="1"/>
    <col min="14" max="14" width="17.5703125" style="3" customWidth="1"/>
    <col min="15" max="15" width="14.28515625" style="3" hidden="1" customWidth="1"/>
    <col min="16" max="16" width="11.7109375" style="3" hidden="1" customWidth="1"/>
    <col min="17" max="17" width="15" style="39" customWidth="1"/>
    <col min="18" max="18" width="18.140625" style="39" customWidth="1"/>
    <col min="19" max="19" width="13.140625" style="39" customWidth="1"/>
    <col min="20" max="20" width="20.28515625" style="40" customWidth="1"/>
    <col min="21" max="21" width="18.42578125" style="39" customWidth="1"/>
    <col min="22" max="22" width="22.28515625" style="39" customWidth="1"/>
    <col min="23" max="23" width="9.28515625" style="3" bestFit="1" customWidth="1"/>
    <col min="24" max="16384" width="9.140625" style="3"/>
  </cols>
  <sheetData>
    <row r="1" spans="1:23" s="1" customFormat="1" ht="33" x14ac:dyDescent="0.45">
      <c r="A1" s="220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</row>
    <row r="2" spans="1:23" s="2" customFormat="1" x14ac:dyDescent="0.25">
      <c r="A2" s="222" t="s">
        <v>66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</row>
    <row r="3" spans="1:23" ht="9.75" customHeight="1" x14ac:dyDescent="0.3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</row>
    <row r="4" spans="1:23" s="4" customFormat="1" ht="18.75" customHeight="1" x14ac:dyDescent="0.25">
      <c r="A4" s="223" t="s">
        <v>1</v>
      </c>
      <c r="B4" s="223" t="s">
        <v>2</v>
      </c>
      <c r="C4" s="225" t="s">
        <v>3</v>
      </c>
      <c r="D4" s="225"/>
      <c r="E4" s="225"/>
      <c r="F4" s="225"/>
      <c r="G4" s="225"/>
      <c r="H4" s="225"/>
      <c r="I4" s="225" t="s">
        <v>4</v>
      </c>
      <c r="J4" s="226"/>
      <c r="K4" s="226"/>
      <c r="L4" s="226"/>
      <c r="M4" s="226"/>
      <c r="N4" s="226"/>
      <c r="O4" s="58"/>
      <c r="P4" s="225" t="s">
        <v>5</v>
      </c>
      <c r="Q4" s="226"/>
      <c r="R4" s="226"/>
      <c r="S4" s="226"/>
      <c r="T4" s="226"/>
      <c r="U4" s="226"/>
      <c r="V4" s="59"/>
    </row>
    <row r="5" spans="1:23" s="4" customFormat="1" ht="19.5" customHeight="1" x14ac:dyDescent="0.25">
      <c r="A5" s="224"/>
      <c r="B5" s="224"/>
      <c r="C5" s="223" t="s">
        <v>6</v>
      </c>
      <c r="D5" s="223" t="s">
        <v>7</v>
      </c>
      <c r="E5" s="223"/>
      <c r="F5" s="223" t="s">
        <v>8</v>
      </c>
      <c r="G5" s="223"/>
      <c r="H5" s="57" t="s">
        <v>9</v>
      </c>
      <c r="I5" s="223" t="s">
        <v>6</v>
      </c>
      <c r="J5" s="223" t="s">
        <v>7</v>
      </c>
      <c r="K5" s="223"/>
      <c r="L5" s="223" t="s">
        <v>8</v>
      </c>
      <c r="M5" s="223"/>
      <c r="N5" s="223" t="s">
        <v>9</v>
      </c>
      <c r="O5" s="58"/>
      <c r="P5" s="223" t="s">
        <v>6</v>
      </c>
      <c r="Q5" s="223" t="s">
        <v>7</v>
      </c>
      <c r="R5" s="223"/>
      <c r="S5" s="223" t="s">
        <v>8</v>
      </c>
      <c r="T5" s="223"/>
      <c r="U5" s="223" t="s">
        <v>9</v>
      </c>
      <c r="V5" s="223" t="s">
        <v>10</v>
      </c>
    </row>
    <row r="6" spans="1:23" s="4" customFormat="1" ht="15.75" customHeight="1" x14ac:dyDescent="0.25">
      <c r="A6" s="224"/>
      <c r="B6" s="224"/>
      <c r="C6" s="227"/>
      <c r="D6" s="57" t="s">
        <v>11</v>
      </c>
      <c r="E6" s="57" t="s">
        <v>12</v>
      </c>
      <c r="F6" s="57" t="s">
        <v>11</v>
      </c>
      <c r="G6" s="57" t="s">
        <v>12</v>
      </c>
      <c r="H6" s="57"/>
      <c r="I6" s="227"/>
      <c r="J6" s="57" t="s">
        <v>11</v>
      </c>
      <c r="K6" s="57" t="s">
        <v>12</v>
      </c>
      <c r="L6" s="57" t="s">
        <v>11</v>
      </c>
      <c r="M6" s="57" t="s">
        <v>12</v>
      </c>
      <c r="N6" s="223"/>
      <c r="O6" s="58"/>
      <c r="P6" s="227"/>
      <c r="Q6" s="57" t="s">
        <v>11</v>
      </c>
      <c r="R6" s="57" t="s">
        <v>12</v>
      </c>
      <c r="S6" s="57" t="s">
        <v>11</v>
      </c>
      <c r="T6" s="57" t="s">
        <v>12</v>
      </c>
      <c r="U6" s="223"/>
      <c r="V6" s="223"/>
    </row>
    <row r="7" spans="1:23" s="11" customFormat="1" ht="19.5" customHeight="1" x14ac:dyDescent="0.3">
      <c r="A7" s="5">
        <v>1</v>
      </c>
      <c r="B7" s="6" t="s">
        <v>13</v>
      </c>
      <c r="C7" s="7">
        <v>134.02833333333334</v>
      </c>
      <c r="D7" s="8">
        <v>0</v>
      </c>
      <c r="E7" s="8" t="e">
        <f>#REF!+ht!D7</f>
        <v>#REF!</v>
      </c>
      <c r="F7" s="8">
        <v>0</v>
      </c>
      <c r="G7" s="8" t="e">
        <f>#REF!+ht!F7</f>
        <v>#REF!</v>
      </c>
      <c r="H7" s="8" t="e">
        <f>#REF!+ht!D7-ht!F7</f>
        <v>#REF!</v>
      </c>
      <c r="I7" s="8">
        <v>374.98699999999997</v>
      </c>
      <c r="J7" s="8">
        <v>0</v>
      </c>
      <c r="K7" s="8" t="e">
        <f>#REF!+ht!J7</f>
        <v>#REF!</v>
      </c>
      <c r="L7" s="8">
        <v>0</v>
      </c>
      <c r="M7" s="8" t="e">
        <f>#REF!+ht!L7</f>
        <v>#REF!</v>
      </c>
      <c r="N7" s="8" t="e">
        <f>#REF!+ht!J7-ht!M7</f>
        <v>#REF!</v>
      </c>
      <c r="O7" s="9">
        <f>D7+J7</f>
        <v>0</v>
      </c>
      <c r="P7" s="10">
        <v>1.2</v>
      </c>
      <c r="Q7" s="10">
        <v>0</v>
      </c>
      <c r="R7" s="8" t="e">
        <f>#REF!+ht!Q7</f>
        <v>#REF!</v>
      </c>
      <c r="S7" s="10">
        <v>0</v>
      </c>
      <c r="T7" s="8" t="e">
        <f>#REF!+ht!S7</f>
        <v>#REF!</v>
      </c>
      <c r="U7" s="8" t="e">
        <f>#REF!+ht!Q7-ht!S7</f>
        <v>#REF!</v>
      </c>
      <c r="V7" s="8" t="e">
        <f>H7+N7+U7</f>
        <v>#REF!</v>
      </c>
    </row>
    <row r="8" spans="1:23" s="11" customFormat="1" ht="19.5" customHeight="1" x14ac:dyDescent="0.3">
      <c r="A8" s="5">
        <v>2</v>
      </c>
      <c r="B8" s="6" t="s">
        <v>65</v>
      </c>
      <c r="C8" s="7"/>
      <c r="D8" s="8">
        <v>0</v>
      </c>
      <c r="E8" s="8" t="e">
        <f>#REF!+ht!D8</f>
        <v>#REF!</v>
      </c>
      <c r="F8" s="8">
        <v>0</v>
      </c>
      <c r="G8" s="8" t="e">
        <f>#REF!+ht!F8</f>
        <v>#REF!</v>
      </c>
      <c r="H8" s="8" t="e">
        <f>#REF!+ht!D8-ht!F8</f>
        <v>#REF!</v>
      </c>
      <c r="I8" s="8"/>
      <c r="J8" s="8">
        <v>0</v>
      </c>
      <c r="K8" s="8" t="e">
        <f>#REF!+ht!J8</f>
        <v>#REF!</v>
      </c>
      <c r="L8" s="8">
        <v>0</v>
      </c>
      <c r="M8" s="8" t="e">
        <f>#REF!+ht!L8</f>
        <v>#REF!</v>
      </c>
      <c r="N8" s="8" t="e">
        <f>#REF!+ht!J8-ht!M8</f>
        <v>#REF!</v>
      </c>
      <c r="O8" s="9"/>
      <c r="P8" s="10"/>
      <c r="Q8" s="10">
        <v>0</v>
      </c>
      <c r="R8" s="8" t="e">
        <f>#REF!+ht!Q8</f>
        <v>#REF!</v>
      </c>
      <c r="S8" s="10">
        <v>0</v>
      </c>
      <c r="T8" s="8" t="e">
        <f>#REF!+ht!S8</f>
        <v>#REF!</v>
      </c>
      <c r="U8" s="8" t="e">
        <f>#REF!+ht!Q8-ht!S8</f>
        <v>#REF!</v>
      </c>
      <c r="V8" s="8" t="e">
        <f t="shared" ref="V8:V52" si="0">H8+N8+U8</f>
        <v>#REF!</v>
      </c>
    </row>
    <row r="9" spans="1:23" s="11" customFormat="1" ht="21.75" customHeight="1" x14ac:dyDescent="0.3">
      <c r="A9" s="5">
        <v>3</v>
      </c>
      <c r="B9" s="6" t="s">
        <v>14</v>
      </c>
      <c r="C9" s="7">
        <v>106.67333333333335</v>
      </c>
      <c r="D9" s="8">
        <v>0</v>
      </c>
      <c r="E9" s="8" t="e">
        <f>#REF!+ht!D9</f>
        <v>#REF!</v>
      </c>
      <c r="F9" s="8">
        <v>0</v>
      </c>
      <c r="G9" s="8" t="e">
        <f>#REF!+ht!F9</f>
        <v>#REF!</v>
      </c>
      <c r="H9" s="8" t="e">
        <f>#REF!+ht!D9-ht!F9</f>
        <v>#REF!</v>
      </c>
      <c r="I9" s="8">
        <v>377.63600000000002</v>
      </c>
      <c r="J9" s="8">
        <v>0</v>
      </c>
      <c r="K9" s="8" t="e">
        <f>#REF!+ht!J9</f>
        <v>#REF!</v>
      </c>
      <c r="L9" s="8">
        <v>0</v>
      </c>
      <c r="M9" s="8" t="e">
        <f>#REF!+ht!L9</f>
        <v>#REF!</v>
      </c>
      <c r="N9" s="8" t="e">
        <f>#REF!+ht!J9-ht!M9</f>
        <v>#REF!</v>
      </c>
      <c r="O9" s="9">
        <f>D9+J9</f>
        <v>0</v>
      </c>
      <c r="P9" s="10">
        <v>10.44</v>
      </c>
      <c r="Q9" s="10">
        <v>0</v>
      </c>
      <c r="R9" s="8" t="e">
        <f>#REF!+ht!Q9</f>
        <v>#REF!</v>
      </c>
      <c r="S9" s="10">
        <v>0</v>
      </c>
      <c r="T9" s="8" t="e">
        <f>#REF!+ht!S9</f>
        <v>#REF!</v>
      </c>
      <c r="U9" s="8" t="e">
        <f>#REF!+ht!Q9-ht!S9</f>
        <v>#REF!</v>
      </c>
      <c r="V9" s="8" t="e">
        <f t="shared" si="0"/>
        <v>#REF!</v>
      </c>
    </row>
    <row r="10" spans="1:23" s="11" customFormat="1" ht="17.25" customHeight="1" x14ac:dyDescent="0.3">
      <c r="A10" s="5">
        <v>4</v>
      </c>
      <c r="B10" s="6" t="s">
        <v>15</v>
      </c>
      <c r="C10" s="7">
        <v>2.0666666666666669</v>
      </c>
      <c r="D10" s="8">
        <v>0</v>
      </c>
      <c r="E10" s="8" t="e">
        <f>#REF!+ht!D10</f>
        <v>#REF!</v>
      </c>
      <c r="F10" s="8">
        <v>0</v>
      </c>
      <c r="G10" s="8" t="e">
        <f>#REF!+ht!F10</f>
        <v>#REF!</v>
      </c>
      <c r="H10" s="8" t="e">
        <f>#REF!+ht!D10-ht!F10</f>
        <v>#REF!</v>
      </c>
      <c r="I10" s="8">
        <v>281.17800000000005</v>
      </c>
      <c r="J10" s="8">
        <v>0</v>
      </c>
      <c r="K10" s="8" t="e">
        <f>#REF!+ht!J10</f>
        <v>#REF!</v>
      </c>
      <c r="L10" s="8">
        <v>0</v>
      </c>
      <c r="M10" s="8" t="e">
        <f>#REF!+ht!L10</f>
        <v>#REF!</v>
      </c>
      <c r="N10" s="8" t="e">
        <f>#REF!+ht!J10-ht!M10</f>
        <v>#REF!</v>
      </c>
      <c r="O10" s="9">
        <f>D10+J10</f>
        <v>0</v>
      </c>
      <c r="P10" s="10">
        <v>0</v>
      </c>
      <c r="Q10" s="10">
        <v>0</v>
      </c>
      <c r="R10" s="8" t="e">
        <f>#REF!+ht!Q10</f>
        <v>#REF!</v>
      </c>
      <c r="S10" s="10">
        <v>0</v>
      </c>
      <c r="T10" s="8" t="e">
        <f>#REF!+ht!S10</f>
        <v>#REF!</v>
      </c>
      <c r="U10" s="8" t="e">
        <f>#REF!+ht!Q10-ht!S10</f>
        <v>#REF!</v>
      </c>
      <c r="V10" s="8" t="e">
        <f t="shared" si="0"/>
        <v>#REF!</v>
      </c>
    </row>
    <row r="11" spans="1:23" s="16" customFormat="1" ht="19.5" customHeight="1" x14ac:dyDescent="0.25">
      <c r="A11" s="12"/>
      <c r="B11" s="13" t="s">
        <v>16</v>
      </c>
      <c r="C11" s="14">
        <v>242.76833333333335</v>
      </c>
      <c r="D11" s="15">
        <f>SUM(D7:D10)</f>
        <v>0</v>
      </c>
      <c r="E11" s="15" t="e">
        <f>#REF!+ht!D11</f>
        <v>#REF!</v>
      </c>
      <c r="F11" s="15">
        <f t="shared" ref="F11:V11" si="1">SUM(F7:F10)</f>
        <v>0</v>
      </c>
      <c r="G11" s="15" t="e">
        <f>#REF!+ht!F11</f>
        <v>#REF!</v>
      </c>
      <c r="H11" s="15" t="e">
        <f>#REF!+ht!D11-ht!F11</f>
        <v>#REF!</v>
      </c>
      <c r="I11" s="15">
        <f t="shared" si="1"/>
        <v>1033.8010000000002</v>
      </c>
      <c r="J11" s="15">
        <f t="shared" si="1"/>
        <v>0</v>
      </c>
      <c r="K11" s="15" t="e">
        <f>#REF!+ht!J11</f>
        <v>#REF!</v>
      </c>
      <c r="L11" s="15">
        <f t="shared" si="1"/>
        <v>0</v>
      </c>
      <c r="M11" s="15" t="e">
        <f>#REF!+ht!L11</f>
        <v>#REF!</v>
      </c>
      <c r="N11" s="15" t="e">
        <f>#REF!+ht!J11-ht!M11</f>
        <v>#REF!</v>
      </c>
      <c r="O11" s="15">
        <f t="shared" si="1"/>
        <v>0</v>
      </c>
      <c r="P11" s="15">
        <f t="shared" si="1"/>
        <v>11.639999999999999</v>
      </c>
      <c r="Q11" s="15">
        <f t="shared" si="1"/>
        <v>0</v>
      </c>
      <c r="R11" s="15" t="e">
        <f>#REF!+ht!Q11</f>
        <v>#REF!</v>
      </c>
      <c r="S11" s="15">
        <f t="shared" si="1"/>
        <v>0</v>
      </c>
      <c r="T11" s="15" t="e">
        <f>#REF!+ht!S11</f>
        <v>#REF!</v>
      </c>
      <c r="U11" s="15" t="e">
        <f>#REF!+ht!Q11-ht!S11</f>
        <v>#REF!</v>
      </c>
      <c r="V11" s="15" t="e">
        <f t="shared" si="1"/>
        <v>#REF!</v>
      </c>
      <c r="W11" s="17"/>
    </row>
    <row r="12" spans="1:23" s="11" customFormat="1" ht="25.5" customHeight="1" x14ac:dyDescent="0.3">
      <c r="A12" s="5">
        <v>5</v>
      </c>
      <c r="B12" s="6" t="s">
        <v>17</v>
      </c>
      <c r="C12" s="7">
        <v>545.01400000000001</v>
      </c>
      <c r="D12" s="8">
        <v>0</v>
      </c>
      <c r="E12" s="8" t="e">
        <f>#REF!+ht!D12</f>
        <v>#REF!</v>
      </c>
      <c r="F12" s="8">
        <v>0</v>
      </c>
      <c r="G12" s="8" t="e">
        <f>#REF!+ht!F12</f>
        <v>#REF!</v>
      </c>
      <c r="H12" s="8" t="e">
        <f>#REF!+ht!D12-ht!F12</f>
        <v>#REF!</v>
      </c>
      <c r="I12" s="8">
        <v>542.76800000000014</v>
      </c>
      <c r="J12" s="8">
        <v>0</v>
      </c>
      <c r="K12" s="8" t="e">
        <f>#REF!+ht!J12</f>
        <v>#REF!</v>
      </c>
      <c r="L12" s="8">
        <v>0</v>
      </c>
      <c r="M12" s="8" t="e">
        <f>#REF!+ht!L12</f>
        <v>#REF!</v>
      </c>
      <c r="N12" s="8" t="e">
        <f>#REF!+ht!J12-ht!M12</f>
        <v>#REF!</v>
      </c>
      <c r="O12" s="9">
        <f>D12+J12</f>
        <v>0</v>
      </c>
      <c r="P12" s="10">
        <v>4.57</v>
      </c>
      <c r="Q12" s="10">
        <v>0</v>
      </c>
      <c r="R12" s="8" t="e">
        <f>#REF!+ht!Q12</f>
        <v>#REF!</v>
      </c>
      <c r="S12" s="10">
        <v>0</v>
      </c>
      <c r="T12" s="8" t="e">
        <f>#REF!+ht!S12</f>
        <v>#REF!</v>
      </c>
      <c r="U12" s="8" t="e">
        <f>#REF!+ht!Q12-ht!S12</f>
        <v>#REF!</v>
      </c>
      <c r="V12" s="8" t="e">
        <f t="shared" si="0"/>
        <v>#REF!</v>
      </c>
    </row>
    <row r="13" spans="1:23" s="11" customFormat="1" ht="19.5" customHeight="1" x14ac:dyDescent="0.3">
      <c r="A13" s="5">
        <v>6</v>
      </c>
      <c r="B13" s="6" t="s">
        <v>18</v>
      </c>
      <c r="C13" s="7">
        <v>102.32099999999998</v>
      </c>
      <c r="D13" s="8">
        <v>0</v>
      </c>
      <c r="E13" s="8" t="e">
        <f>#REF!+ht!D13</f>
        <v>#REF!</v>
      </c>
      <c r="F13" s="8">
        <v>0</v>
      </c>
      <c r="G13" s="8" t="e">
        <f>#REF!+ht!F13</f>
        <v>#REF!</v>
      </c>
      <c r="H13" s="8" t="e">
        <f>#REF!+ht!D13-ht!F13</f>
        <v>#REF!</v>
      </c>
      <c r="I13" s="8">
        <v>370.01399999999995</v>
      </c>
      <c r="J13" s="8">
        <v>0</v>
      </c>
      <c r="K13" s="8" t="e">
        <f>#REF!+ht!J13</f>
        <v>#REF!</v>
      </c>
      <c r="L13" s="8">
        <v>0</v>
      </c>
      <c r="M13" s="8" t="e">
        <f>#REF!+ht!L13</f>
        <v>#REF!</v>
      </c>
      <c r="N13" s="8" t="e">
        <f>#REF!+ht!J13-ht!M13</f>
        <v>#REF!</v>
      </c>
      <c r="O13" s="9">
        <f>D13+J13</f>
        <v>0</v>
      </c>
      <c r="P13" s="10">
        <v>4.4930000000000003</v>
      </c>
      <c r="Q13" s="10">
        <v>0</v>
      </c>
      <c r="R13" s="8" t="e">
        <f>#REF!+ht!Q13</f>
        <v>#REF!</v>
      </c>
      <c r="S13" s="10">
        <v>0</v>
      </c>
      <c r="T13" s="8" t="e">
        <f>#REF!+ht!S13</f>
        <v>#REF!</v>
      </c>
      <c r="U13" s="8" t="e">
        <f>#REF!+ht!Q13-ht!S13</f>
        <v>#REF!</v>
      </c>
      <c r="V13" s="8" t="e">
        <f t="shared" si="0"/>
        <v>#REF!</v>
      </c>
    </row>
    <row r="14" spans="1:23" s="11" customFormat="1" ht="21" customHeight="1" x14ac:dyDescent="0.3">
      <c r="A14" s="5">
        <v>7</v>
      </c>
      <c r="B14" s="6" t="s">
        <v>19</v>
      </c>
      <c r="C14" s="7">
        <v>439.76333333333338</v>
      </c>
      <c r="D14" s="8">
        <v>0</v>
      </c>
      <c r="E14" s="8" t="e">
        <f>#REF!+ht!D14</f>
        <v>#REF!</v>
      </c>
      <c r="F14" s="8">
        <v>0</v>
      </c>
      <c r="G14" s="8" t="e">
        <f>#REF!+ht!F14</f>
        <v>#REF!</v>
      </c>
      <c r="H14" s="8" t="e">
        <f>#REF!+ht!D14-ht!F14</f>
        <v>#REF!</v>
      </c>
      <c r="I14" s="8">
        <v>284.35599999999999</v>
      </c>
      <c r="J14" s="8">
        <v>0</v>
      </c>
      <c r="K14" s="8" t="e">
        <f>#REF!+ht!J14</f>
        <v>#REF!</v>
      </c>
      <c r="L14" s="8">
        <v>0</v>
      </c>
      <c r="M14" s="8" t="e">
        <f>#REF!+ht!L14</f>
        <v>#REF!</v>
      </c>
      <c r="N14" s="8" t="e">
        <f>#REF!+ht!J14-ht!M14</f>
        <v>#REF!</v>
      </c>
      <c r="O14" s="9">
        <f>D14+J14</f>
        <v>0</v>
      </c>
      <c r="P14" s="10">
        <v>6.7349999999999994</v>
      </c>
      <c r="Q14" s="10">
        <v>0</v>
      </c>
      <c r="R14" s="8" t="e">
        <f>#REF!+ht!Q14</f>
        <v>#REF!</v>
      </c>
      <c r="S14" s="10">
        <v>0</v>
      </c>
      <c r="T14" s="8" t="e">
        <f>#REF!+ht!S14</f>
        <v>#REF!</v>
      </c>
      <c r="U14" s="8" t="e">
        <f>#REF!+ht!Q14-ht!S14</f>
        <v>#REF!</v>
      </c>
      <c r="V14" s="8" t="e">
        <f t="shared" si="0"/>
        <v>#REF!</v>
      </c>
    </row>
    <row r="15" spans="1:23" s="16" customFormat="1" ht="19.5" customHeight="1" x14ac:dyDescent="0.25">
      <c r="A15" s="12"/>
      <c r="B15" s="13" t="s">
        <v>20</v>
      </c>
      <c r="C15" s="14">
        <v>1087.0983333333334</v>
      </c>
      <c r="D15" s="15">
        <f>D14+D13+D12</f>
        <v>0</v>
      </c>
      <c r="E15" s="15" t="e">
        <f>#REF!+ht!D15</f>
        <v>#REF!</v>
      </c>
      <c r="F15" s="15">
        <f t="shared" ref="F15:V15" si="2">F14+F13+F12</f>
        <v>0</v>
      </c>
      <c r="G15" s="15" t="e">
        <f>#REF!+ht!F15</f>
        <v>#REF!</v>
      </c>
      <c r="H15" s="15" t="e">
        <f>#REF!+ht!D15-ht!F15</f>
        <v>#REF!</v>
      </c>
      <c r="I15" s="15">
        <f t="shared" si="2"/>
        <v>1197.1379999999999</v>
      </c>
      <c r="J15" s="15">
        <f t="shared" si="2"/>
        <v>0</v>
      </c>
      <c r="K15" s="15" t="e">
        <f>#REF!+ht!J15</f>
        <v>#REF!</v>
      </c>
      <c r="L15" s="15">
        <f t="shared" si="2"/>
        <v>0</v>
      </c>
      <c r="M15" s="15" t="e">
        <f>#REF!+ht!L15</f>
        <v>#REF!</v>
      </c>
      <c r="N15" s="15" t="e">
        <f>#REF!+ht!J15-ht!M15</f>
        <v>#REF!</v>
      </c>
      <c r="O15" s="15">
        <f t="shared" si="2"/>
        <v>0</v>
      </c>
      <c r="P15" s="15">
        <f t="shared" si="2"/>
        <v>15.798</v>
      </c>
      <c r="Q15" s="15">
        <f t="shared" si="2"/>
        <v>0</v>
      </c>
      <c r="R15" s="15" t="e">
        <f>#REF!+ht!Q15</f>
        <v>#REF!</v>
      </c>
      <c r="S15" s="15">
        <f t="shared" si="2"/>
        <v>0</v>
      </c>
      <c r="T15" s="15" t="e">
        <f>#REF!+ht!S15</f>
        <v>#REF!</v>
      </c>
      <c r="U15" s="15" t="e">
        <f>#REF!+ht!Q15-ht!S15</f>
        <v>#REF!</v>
      </c>
      <c r="V15" s="15" t="e">
        <f t="shared" si="2"/>
        <v>#REF!</v>
      </c>
      <c r="W15" s="17"/>
    </row>
    <row r="16" spans="1:23" s="11" customFormat="1" ht="21" customHeight="1" x14ac:dyDescent="0.3">
      <c r="A16" s="5">
        <v>8</v>
      </c>
      <c r="B16" s="6" t="s">
        <v>21</v>
      </c>
      <c r="C16" s="7">
        <v>540.85</v>
      </c>
      <c r="D16" s="8">
        <v>0</v>
      </c>
      <c r="E16" s="8" t="e">
        <f>#REF!+ht!D16</f>
        <v>#REF!</v>
      </c>
      <c r="F16" s="8">
        <v>0</v>
      </c>
      <c r="G16" s="8" t="e">
        <f>#REF!+ht!F16</f>
        <v>#REF!</v>
      </c>
      <c r="H16" s="8" t="e">
        <f>#REF!+ht!D16-ht!F16</f>
        <v>#REF!</v>
      </c>
      <c r="I16" s="8">
        <v>38.61</v>
      </c>
      <c r="J16" s="8">
        <v>0</v>
      </c>
      <c r="K16" s="8" t="e">
        <f>#REF!+ht!J16</f>
        <v>#REF!</v>
      </c>
      <c r="L16" s="8">
        <v>0</v>
      </c>
      <c r="M16" s="8" t="e">
        <f>#REF!+ht!L16</f>
        <v>#REF!</v>
      </c>
      <c r="N16" s="8" t="e">
        <f>#REF!+ht!J16-ht!M16</f>
        <v>#REF!</v>
      </c>
      <c r="O16" s="9">
        <f>D16+J16</f>
        <v>0</v>
      </c>
      <c r="P16" s="10">
        <v>93.77</v>
      </c>
      <c r="Q16" s="10">
        <v>0</v>
      </c>
      <c r="R16" s="8" t="e">
        <f>#REF!+ht!Q16</f>
        <v>#REF!</v>
      </c>
      <c r="S16" s="10">
        <v>0</v>
      </c>
      <c r="T16" s="8" t="e">
        <f>#REF!+ht!S16</f>
        <v>#REF!</v>
      </c>
      <c r="U16" s="8" t="e">
        <f>#REF!+ht!Q16-ht!S16</f>
        <v>#REF!</v>
      </c>
      <c r="V16" s="8" t="e">
        <f t="shared" si="0"/>
        <v>#REF!</v>
      </c>
    </row>
    <row r="17" spans="1:23" s="24" customFormat="1" ht="21.75" customHeight="1" x14ac:dyDescent="0.3">
      <c r="A17" s="18">
        <v>9</v>
      </c>
      <c r="B17" s="19" t="s">
        <v>22</v>
      </c>
      <c r="C17" s="20">
        <v>65.2</v>
      </c>
      <c r="D17" s="21">
        <v>0</v>
      </c>
      <c r="E17" s="8" t="e">
        <f>#REF!+ht!D17</f>
        <v>#REF!</v>
      </c>
      <c r="F17" s="21">
        <v>0</v>
      </c>
      <c r="G17" s="8" t="e">
        <f>#REF!+ht!F17</f>
        <v>#REF!</v>
      </c>
      <c r="H17" s="8" t="e">
        <f>#REF!+ht!D17-ht!F17</f>
        <v>#REF!</v>
      </c>
      <c r="I17" s="21">
        <v>265.88</v>
      </c>
      <c r="J17" s="21">
        <v>0</v>
      </c>
      <c r="K17" s="8" t="e">
        <f>#REF!+ht!J17</f>
        <v>#REF!</v>
      </c>
      <c r="L17" s="21">
        <v>0</v>
      </c>
      <c r="M17" s="8" t="e">
        <f>#REF!+ht!L17</f>
        <v>#REF!</v>
      </c>
      <c r="N17" s="8" t="e">
        <f>#REF!+ht!J17-ht!M17</f>
        <v>#REF!</v>
      </c>
      <c r="O17" s="22">
        <f>D17+J17</f>
        <v>0</v>
      </c>
      <c r="P17" s="23">
        <v>6.11</v>
      </c>
      <c r="Q17" s="23">
        <v>0</v>
      </c>
      <c r="R17" s="8" t="e">
        <f>#REF!+ht!Q17</f>
        <v>#REF!</v>
      </c>
      <c r="S17" s="10">
        <v>0</v>
      </c>
      <c r="T17" s="8" t="e">
        <f>#REF!+ht!S17</f>
        <v>#REF!</v>
      </c>
      <c r="U17" s="8" t="e">
        <f>#REF!+ht!Q17-ht!S17</f>
        <v>#REF!</v>
      </c>
      <c r="V17" s="8" t="e">
        <f t="shared" si="0"/>
        <v>#REF!</v>
      </c>
    </row>
    <row r="18" spans="1:23" s="11" customFormat="1" ht="21.75" customHeight="1" x14ac:dyDescent="0.3">
      <c r="A18" s="5">
        <v>10</v>
      </c>
      <c r="B18" s="6" t="s">
        <v>23</v>
      </c>
      <c r="C18" s="7">
        <v>126.64</v>
      </c>
      <c r="D18" s="8">
        <v>0</v>
      </c>
      <c r="E18" s="8" t="e">
        <f>#REF!+ht!D18</f>
        <v>#REF!</v>
      </c>
      <c r="F18" s="8">
        <v>0</v>
      </c>
      <c r="G18" s="8" t="e">
        <f>#REF!+ht!F18</f>
        <v>#REF!</v>
      </c>
      <c r="H18" s="8" t="e">
        <f>#REF!+ht!D18-ht!F18</f>
        <v>#REF!</v>
      </c>
      <c r="I18" s="8">
        <v>305.74</v>
      </c>
      <c r="J18" s="8">
        <v>0</v>
      </c>
      <c r="K18" s="8" t="e">
        <f>#REF!+ht!J18</f>
        <v>#REF!</v>
      </c>
      <c r="L18" s="8">
        <v>0</v>
      </c>
      <c r="M18" s="8" t="e">
        <f>#REF!+ht!L18</f>
        <v>#REF!</v>
      </c>
      <c r="N18" s="8" t="e">
        <f>#REF!+ht!J18-ht!M18</f>
        <v>#REF!</v>
      </c>
      <c r="O18" s="9">
        <f>D18+J18</f>
        <v>0</v>
      </c>
      <c r="P18" s="10">
        <v>1.92</v>
      </c>
      <c r="Q18" s="10">
        <v>0</v>
      </c>
      <c r="R18" s="8" t="e">
        <f>#REF!+ht!Q18</f>
        <v>#REF!</v>
      </c>
      <c r="S18" s="10">
        <v>0</v>
      </c>
      <c r="T18" s="8" t="e">
        <f>#REF!+ht!S18</f>
        <v>#REF!</v>
      </c>
      <c r="U18" s="8" t="e">
        <f>#REF!+ht!Q18-ht!S18</f>
        <v>#REF!</v>
      </c>
      <c r="V18" s="8" t="e">
        <f t="shared" si="0"/>
        <v>#REF!</v>
      </c>
    </row>
    <row r="19" spans="1:23" s="16" customFormat="1" ht="19.5" customHeight="1" x14ac:dyDescent="0.25">
      <c r="A19" s="12"/>
      <c r="B19" s="13" t="s">
        <v>24</v>
      </c>
      <c r="C19" s="14">
        <v>732.69</v>
      </c>
      <c r="D19" s="15">
        <f>D16+D17+D18</f>
        <v>0</v>
      </c>
      <c r="E19" s="15" t="e">
        <f>#REF!+ht!D19</f>
        <v>#REF!</v>
      </c>
      <c r="F19" s="15">
        <f t="shared" ref="F19:V19" si="3">F16+F17+F18</f>
        <v>0</v>
      </c>
      <c r="G19" s="15" t="e">
        <f>#REF!+ht!F19</f>
        <v>#REF!</v>
      </c>
      <c r="H19" s="15" t="e">
        <f>#REF!+ht!D19-ht!F19</f>
        <v>#REF!</v>
      </c>
      <c r="I19" s="15">
        <f t="shared" si="3"/>
        <v>610.23</v>
      </c>
      <c r="J19" s="15">
        <f t="shared" si="3"/>
        <v>0</v>
      </c>
      <c r="K19" s="15" t="e">
        <f>#REF!+ht!J19</f>
        <v>#REF!</v>
      </c>
      <c r="L19" s="15">
        <f t="shared" si="3"/>
        <v>0</v>
      </c>
      <c r="M19" s="15" t="e">
        <f>#REF!+ht!L19</f>
        <v>#REF!</v>
      </c>
      <c r="N19" s="15" t="e">
        <f>#REF!+ht!J19-ht!M19</f>
        <v>#REF!</v>
      </c>
      <c r="O19" s="15">
        <f t="shared" si="3"/>
        <v>0</v>
      </c>
      <c r="P19" s="15">
        <f t="shared" si="3"/>
        <v>101.8</v>
      </c>
      <c r="Q19" s="15">
        <f t="shared" si="3"/>
        <v>0</v>
      </c>
      <c r="R19" s="15" t="e">
        <f>#REF!+ht!Q19</f>
        <v>#REF!</v>
      </c>
      <c r="S19" s="15">
        <f t="shared" si="3"/>
        <v>0</v>
      </c>
      <c r="T19" s="15" t="e">
        <f>#REF!+ht!S19</f>
        <v>#REF!</v>
      </c>
      <c r="U19" s="15" t="e">
        <f>#REF!+ht!Q19-ht!S19</f>
        <v>#REF!</v>
      </c>
      <c r="V19" s="15" t="e">
        <f t="shared" si="3"/>
        <v>#REF!</v>
      </c>
      <c r="W19" s="17"/>
    </row>
    <row r="20" spans="1:23" s="11" customFormat="1" ht="19.5" customHeight="1" x14ac:dyDescent="0.3">
      <c r="A20" s="5">
        <v>11</v>
      </c>
      <c r="B20" s="6" t="s">
        <v>25</v>
      </c>
      <c r="C20" s="7">
        <v>135.3133333333333</v>
      </c>
      <c r="D20" s="8">
        <v>0</v>
      </c>
      <c r="E20" s="8" t="e">
        <f>#REF!+ht!D20</f>
        <v>#REF!</v>
      </c>
      <c r="F20" s="8">
        <v>0</v>
      </c>
      <c r="G20" s="8" t="e">
        <f>#REF!+ht!F20</f>
        <v>#REF!</v>
      </c>
      <c r="H20" s="8" t="e">
        <f>#REF!+ht!D20-ht!F20</f>
        <v>#REF!</v>
      </c>
      <c r="I20" s="8">
        <v>115.875</v>
      </c>
      <c r="J20" s="8">
        <v>0</v>
      </c>
      <c r="K20" s="8" t="e">
        <f>#REF!+ht!J20</f>
        <v>#REF!</v>
      </c>
      <c r="L20" s="8">
        <v>0</v>
      </c>
      <c r="M20" s="8" t="e">
        <f>#REF!+ht!L20</f>
        <v>#REF!</v>
      </c>
      <c r="N20" s="8" t="e">
        <f>#REF!+ht!J20-ht!M20</f>
        <v>#REF!</v>
      </c>
      <c r="O20" s="9">
        <f>D20+J20</f>
        <v>0</v>
      </c>
      <c r="P20" s="10">
        <v>0.62</v>
      </c>
      <c r="Q20" s="10">
        <v>0</v>
      </c>
      <c r="R20" s="8" t="e">
        <f>#REF!+ht!Q20</f>
        <v>#REF!</v>
      </c>
      <c r="S20" s="10">
        <v>0</v>
      </c>
      <c r="T20" s="8" t="e">
        <f>#REF!+ht!S20</f>
        <v>#REF!</v>
      </c>
      <c r="U20" s="8" t="e">
        <f>#REF!+ht!Q20-ht!S20</f>
        <v>#REF!</v>
      </c>
      <c r="V20" s="8" t="e">
        <f t="shared" si="0"/>
        <v>#REF!</v>
      </c>
    </row>
    <row r="21" spans="1:23" s="11" customFormat="1" ht="21" customHeight="1" x14ac:dyDescent="0.3">
      <c r="A21" s="5">
        <v>12</v>
      </c>
      <c r="B21" s="6" t="s">
        <v>26</v>
      </c>
      <c r="C21" s="7">
        <v>33.798333333333325</v>
      </c>
      <c r="D21" s="8">
        <v>0</v>
      </c>
      <c r="E21" s="8" t="e">
        <f>#REF!+ht!D21</f>
        <v>#REF!</v>
      </c>
      <c r="F21" s="8">
        <v>0</v>
      </c>
      <c r="G21" s="8" t="e">
        <f>#REF!+ht!F21</f>
        <v>#REF!</v>
      </c>
      <c r="H21" s="8" t="e">
        <f>#REF!+ht!D21-ht!F21</f>
        <v>#REF!</v>
      </c>
      <c r="I21" s="8">
        <v>308.03899999999999</v>
      </c>
      <c r="J21" s="8">
        <v>0</v>
      </c>
      <c r="K21" s="8" t="e">
        <f>#REF!+ht!J21</f>
        <v>#REF!</v>
      </c>
      <c r="L21" s="8">
        <v>0</v>
      </c>
      <c r="M21" s="8" t="e">
        <f>#REF!+ht!L21</f>
        <v>#REF!</v>
      </c>
      <c r="N21" s="8" t="e">
        <f>#REF!+ht!J21-ht!M21</f>
        <v>#REF!</v>
      </c>
      <c r="O21" s="9">
        <f>D21+J21</f>
        <v>0</v>
      </c>
      <c r="P21" s="10">
        <v>5.48</v>
      </c>
      <c r="Q21" s="10">
        <v>0</v>
      </c>
      <c r="R21" s="8" t="e">
        <f>#REF!+ht!Q21</f>
        <v>#REF!</v>
      </c>
      <c r="S21" s="10">
        <v>0</v>
      </c>
      <c r="T21" s="8" t="e">
        <f>#REF!+ht!S21</f>
        <v>#REF!</v>
      </c>
      <c r="U21" s="8" t="e">
        <f>#REF!+ht!Q21-ht!S21</f>
        <v>#REF!</v>
      </c>
      <c r="V21" s="8" t="e">
        <f t="shared" si="0"/>
        <v>#REF!</v>
      </c>
    </row>
    <row r="22" spans="1:23" s="11" customFormat="1" ht="17.25" customHeight="1" x14ac:dyDescent="0.3">
      <c r="A22" s="5">
        <v>13</v>
      </c>
      <c r="B22" s="25" t="s">
        <v>27</v>
      </c>
      <c r="C22" s="7">
        <v>261.95499999999998</v>
      </c>
      <c r="D22" s="8">
        <v>0</v>
      </c>
      <c r="E22" s="8" t="e">
        <f>#REF!+ht!D22</f>
        <v>#REF!</v>
      </c>
      <c r="F22" s="8">
        <v>0</v>
      </c>
      <c r="G22" s="8" t="e">
        <f>#REF!+ht!F22</f>
        <v>#REF!</v>
      </c>
      <c r="H22" s="8" t="e">
        <f>#REF!+ht!D22-ht!F22</f>
        <v>#REF!</v>
      </c>
      <c r="I22" s="8">
        <v>182.86399999999998</v>
      </c>
      <c r="J22" s="8">
        <v>0</v>
      </c>
      <c r="K22" s="8" t="e">
        <f>#REF!+ht!J22</f>
        <v>#REF!</v>
      </c>
      <c r="L22" s="8">
        <v>0</v>
      </c>
      <c r="M22" s="8" t="e">
        <f>#REF!+ht!L22</f>
        <v>#REF!</v>
      </c>
      <c r="N22" s="8" t="e">
        <f>#REF!+ht!J22-ht!M22</f>
        <v>#REF!</v>
      </c>
      <c r="O22" s="9">
        <f>D22+J22</f>
        <v>0</v>
      </c>
      <c r="P22" s="10">
        <v>5.87</v>
      </c>
      <c r="Q22" s="10">
        <v>0</v>
      </c>
      <c r="R22" s="8" t="e">
        <f>#REF!+ht!Q22</f>
        <v>#REF!</v>
      </c>
      <c r="S22" s="10">
        <v>0</v>
      </c>
      <c r="T22" s="8" t="e">
        <f>#REF!+ht!S22</f>
        <v>#REF!</v>
      </c>
      <c r="U22" s="8" t="e">
        <f>#REF!+ht!Q22-ht!S22</f>
        <v>#REF!</v>
      </c>
      <c r="V22" s="8" t="e">
        <f t="shared" si="0"/>
        <v>#REF!</v>
      </c>
    </row>
    <row r="23" spans="1:23" s="16" customFormat="1" ht="25.5" customHeight="1" x14ac:dyDescent="0.25">
      <c r="A23" s="12"/>
      <c r="B23" s="13" t="s">
        <v>28</v>
      </c>
      <c r="C23" s="14">
        <v>431.06666666666661</v>
      </c>
      <c r="D23" s="15">
        <f>SUM(D20:D22)</f>
        <v>0</v>
      </c>
      <c r="E23" s="15" t="e">
        <f>#REF!+ht!D23</f>
        <v>#REF!</v>
      </c>
      <c r="F23" s="15">
        <f t="shared" ref="F23:V23" si="4">SUM(F20:F22)</f>
        <v>0</v>
      </c>
      <c r="G23" s="15" t="e">
        <f>#REF!+ht!F23</f>
        <v>#REF!</v>
      </c>
      <c r="H23" s="15" t="e">
        <f>#REF!+ht!D23-ht!F23</f>
        <v>#REF!</v>
      </c>
      <c r="I23" s="15">
        <f t="shared" si="4"/>
        <v>606.77800000000002</v>
      </c>
      <c r="J23" s="15">
        <f t="shared" si="4"/>
        <v>0</v>
      </c>
      <c r="K23" s="15" t="e">
        <f>#REF!+ht!J23</f>
        <v>#REF!</v>
      </c>
      <c r="L23" s="15">
        <f t="shared" si="4"/>
        <v>0</v>
      </c>
      <c r="M23" s="15" t="e">
        <f>#REF!+ht!L23</f>
        <v>#REF!</v>
      </c>
      <c r="N23" s="15" t="e">
        <f>#REF!+ht!J23-ht!M23</f>
        <v>#REF!</v>
      </c>
      <c r="O23" s="15">
        <f t="shared" si="4"/>
        <v>0</v>
      </c>
      <c r="P23" s="15">
        <f t="shared" si="4"/>
        <v>11.97</v>
      </c>
      <c r="Q23" s="15">
        <f t="shared" si="4"/>
        <v>0</v>
      </c>
      <c r="R23" s="15" t="e">
        <f>#REF!+ht!Q23</f>
        <v>#REF!</v>
      </c>
      <c r="S23" s="15">
        <f t="shared" si="4"/>
        <v>0</v>
      </c>
      <c r="T23" s="15" t="e">
        <f>#REF!+ht!S23</f>
        <v>#REF!</v>
      </c>
      <c r="U23" s="15" t="e">
        <f>#REF!+ht!Q23-ht!S23</f>
        <v>#REF!</v>
      </c>
      <c r="V23" s="15" t="e">
        <f t="shared" si="4"/>
        <v>#REF!</v>
      </c>
      <c r="W23" s="17"/>
    </row>
    <row r="24" spans="1:23" s="16" customFormat="1" ht="19.5" customHeight="1" x14ac:dyDescent="0.25">
      <c r="A24" s="12"/>
      <c r="B24" s="13" t="s">
        <v>29</v>
      </c>
      <c r="C24" s="14">
        <v>2493.6233333333334</v>
      </c>
      <c r="D24" s="15">
        <f>D23+D19+D15+D11</f>
        <v>0</v>
      </c>
      <c r="E24" s="15" t="e">
        <f>#REF!+ht!D24</f>
        <v>#REF!</v>
      </c>
      <c r="F24" s="15">
        <f t="shared" ref="F24:V24" si="5">F23+F19+F15+F11</f>
        <v>0</v>
      </c>
      <c r="G24" s="15" t="e">
        <f>#REF!+ht!F24</f>
        <v>#REF!</v>
      </c>
      <c r="H24" s="15" t="e">
        <f>#REF!+ht!D24-ht!F24</f>
        <v>#REF!</v>
      </c>
      <c r="I24" s="15">
        <f t="shared" si="5"/>
        <v>3447.9470000000001</v>
      </c>
      <c r="J24" s="15">
        <f t="shared" si="5"/>
        <v>0</v>
      </c>
      <c r="K24" s="15" t="e">
        <f>#REF!+ht!J24</f>
        <v>#REF!</v>
      </c>
      <c r="L24" s="15">
        <f t="shared" si="5"/>
        <v>0</v>
      </c>
      <c r="M24" s="15" t="e">
        <f>#REF!+ht!L24</f>
        <v>#REF!</v>
      </c>
      <c r="N24" s="15" t="e">
        <f>#REF!+ht!J24-ht!M24</f>
        <v>#REF!</v>
      </c>
      <c r="O24" s="15">
        <f t="shared" si="5"/>
        <v>0</v>
      </c>
      <c r="P24" s="15">
        <f t="shared" si="5"/>
        <v>141.20799999999997</v>
      </c>
      <c r="Q24" s="15">
        <f t="shared" si="5"/>
        <v>0</v>
      </c>
      <c r="R24" s="15" t="e">
        <f>#REF!+ht!Q24</f>
        <v>#REF!</v>
      </c>
      <c r="S24" s="15">
        <f t="shared" si="5"/>
        <v>0</v>
      </c>
      <c r="T24" s="15" t="e">
        <f>#REF!+ht!S24</f>
        <v>#REF!</v>
      </c>
      <c r="U24" s="15" t="e">
        <f>#REF!+ht!Q24-ht!S24</f>
        <v>#REF!</v>
      </c>
      <c r="V24" s="15" t="e">
        <f t="shared" si="5"/>
        <v>#REF!</v>
      </c>
      <c r="W24" s="17"/>
    </row>
    <row r="25" spans="1:23" s="11" customFormat="1" ht="18" customHeight="1" x14ac:dyDescent="0.3">
      <c r="A25" s="5">
        <v>14</v>
      </c>
      <c r="B25" s="6" t="s">
        <v>30</v>
      </c>
      <c r="C25" s="7">
        <v>4616.42</v>
      </c>
      <c r="D25" s="8">
        <v>0</v>
      </c>
      <c r="E25" s="8" t="e">
        <f>#REF!+ht!D25</f>
        <v>#REF!</v>
      </c>
      <c r="F25" s="8">
        <v>0</v>
      </c>
      <c r="G25" s="8" t="e">
        <f>#REF!+ht!F25</f>
        <v>#REF!</v>
      </c>
      <c r="H25" s="8" t="e">
        <f>#REF!+ht!D25-ht!F25</f>
        <v>#REF!</v>
      </c>
      <c r="I25" s="8">
        <v>42.29</v>
      </c>
      <c r="J25" s="8">
        <v>0</v>
      </c>
      <c r="K25" s="8" t="e">
        <f>#REF!+ht!J25</f>
        <v>#REF!</v>
      </c>
      <c r="L25" s="8">
        <v>0</v>
      </c>
      <c r="M25" s="8" t="e">
        <f>#REF!+ht!L25</f>
        <v>#REF!</v>
      </c>
      <c r="N25" s="8" t="e">
        <f>#REF!+ht!J25-ht!M25</f>
        <v>#REF!</v>
      </c>
      <c r="O25" s="9">
        <f>D25+J25</f>
        <v>0</v>
      </c>
      <c r="P25" s="10">
        <v>0</v>
      </c>
      <c r="Q25" s="10">
        <v>0</v>
      </c>
      <c r="R25" s="8" t="e">
        <f>#REF!+ht!Q25</f>
        <v>#REF!</v>
      </c>
      <c r="S25" s="10">
        <v>0</v>
      </c>
      <c r="T25" s="8" t="e">
        <f>#REF!+ht!S25</f>
        <v>#REF!</v>
      </c>
      <c r="U25" s="8" t="e">
        <f>#REF!+ht!Q25-ht!S25</f>
        <v>#REF!</v>
      </c>
      <c r="V25" s="8" t="e">
        <f t="shared" si="0"/>
        <v>#REF!</v>
      </c>
    </row>
    <row r="26" spans="1:23" s="11" customFormat="1" ht="27" customHeight="1" x14ac:dyDescent="0.3">
      <c r="A26" s="5">
        <v>15</v>
      </c>
      <c r="B26" s="6" t="s">
        <v>31</v>
      </c>
      <c r="C26" s="7">
        <v>4148.41</v>
      </c>
      <c r="D26" s="8">
        <v>0</v>
      </c>
      <c r="E26" s="8" t="e">
        <f>#REF!+ht!D26</f>
        <v>#REF!</v>
      </c>
      <c r="F26" s="8">
        <v>0</v>
      </c>
      <c r="G26" s="8" t="e">
        <f>#REF!+ht!F26</f>
        <v>#REF!</v>
      </c>
      <c r="H26" s="8" t="e">
        <f>#REF!+ht!D26-ht!F26</f>
        <v>#REF!</v>
      </c>
      <c r="I26" s="8">
        <v>47.46</v>
      </c>
      <c r="J26" s="8">
        <v>0</v>
      </c>
      <c r="K26" s="8" t="e">
        <f>#REF!+ht!J26</f>
        <v>#REF!</v>
      </c>
      <c r="L26" s="8">
        <v>0</v>
      </c>
      <c r="M26" s="8" t="e">
        <f>#REF!+ht!L26</f>
        <v>#REF!</v>
      </c>
      <c r="N26" s="8" t="e">
        <f>#REF!+ht!J26-ht!M26</f>
        <v>#REF!</v>
      </c>
      <c r="O26" s="9">
        <f>D26+J26</f>
        <v>0</v>
      </c>
      <c r="P26" s="10">
        <v>0</v>
      </c>
      <c r="Q26" s="10">
        <v>0</v>
      </c>
      <c r="R26" s="8" t="e">
        <f>#REF!+ht!Q26</f>
        <v>#REF!</v>
      </c>
      <c r="S26" s="10">
        <v>0</v>
      </c>
      <c r="T26" s="8" t="e">
        <f>#REF!+ht!S26</f>
        <v>#REF!</v>
      </c>
      <c r="U26" s="8" t="e">
        <f>#REF!+ht!Q26-ht!S26</f>
        <v>#REF!</v>
      </c>
      <c r="V26" s="8" t="e">
        <f t="shared" si="0"/>
        <v>#REF!</v>
      </c>
    </row>
    <row r="27" spans="1:23" s="16" customFormat="1" ht="19.5" customHeight="1" x14ac:dyDescent="0.25">
      <c r="A27" s="12"/>
      <c r="B27" s="26" t="s">
        <v>32</v>
      </c>
      <c r="C27" s="14"/>
      <c r="D27" s="15">
        <f>D26+D25</f>
        <v>0</v>
      </c>
      <c r="E27" s="15" t="e">
        <f>#REF!+ht!D27</f>
        <v>#REF!</v>
      </c>
      <c r="F27" s="15">
        <f t="shared" ref="F27:V27" si="6">F26+F25</f>
        <v>0</v>
      </c>
      <c r="G27" s="15" t="e">
        <f>#REF!+ht!F27</f>
        <v>#REF!</v>
      </c>
      <c r="H27" s="15" t="e">
        <f>#REF!+ht!D27-ht!F27</f>
        <v>#REF!</v>
      </c>
      <c r="I27" s="15">
        <f t="shared" si="6"/>
        <v>89.75</v>
      </c>
      <c r="J27" s="15">
        <f t="shared" si="6"/>
        <v>0</v>
      </c>
      <c r="K27" s="15" t="e">
        <f>#REF!+ht!J27</f>
        <v>#REF!</v>
      </c>
      <c r="L27" s="15">
        <f t="shared" si="6"/>
        <v>0</v>
      </c>
      <c r="M27" s="15" t="e">
        <f>#REF!+ht!L27</f>
        <v>#REF!</v>
      </c>
      <c r="N27" s="15" t="e">
        <f>#REF!+ht!J27-ht!M27</f>
        <v>#REF!</v>
      </c>
      <c r="O27" s="15">
        <f t="shared" si="6"/>
        <v>0</v>
      </c>
      <c r="P27" s="15">
        <f t="shared" si="6"/>
        <v>0</v>
      </c>
      <c r="Q27" s="15">
        <f t="shared" si="6"/>
        <v>0</v>
      </c>
      <c r="R27" s="15" t="e">
        <f>#REF!+ht!Q27</f>
        <v>#REF!</v>
      </c>
      <c r="S27" s="15">
        <f t="shared" si="6"/>
        <v>0</v>
      </c>
      <c r="T27" s="15" t="e">
        <f>#REF!+ht!S27</f>
        <v>#REF!</v>
      </c>
      <c r="U27" s="15" t="e">
        <f>#REF!+ht!Q27-ht!S27</f>
        <v>#REF!</v>
      </c>
      <c r="V27" s="15" t="e">
        <f t="shared" si="6"/>
        <v>#REF!</v>
      </c>
      <c r="W27" s="17"/>
    </row>
    <row r="28" spans="1:23" s="11" customFormat="1" ht="19.5" customHeight="1" x14ac:dyDescent="0.3">
      <c r="A28" s="5">
        <v>16</v>
      </c>
      <c r="B28" s="6" t="s">
        <v>33</v>
      </c>
      <c r="C28" s="7">
        <v>4270.66</v>
      </c>
      <c r="D28" s="8">
        <v>0</v>
      </c>
      <c r="E28" s="8" t="e">
        <f>#REF!+ht!D28</f>
        <v>#REF!</v>
      </c>
      <c r="F28" s="8">
        <v>0</v>
      </c>
      <c r="G28" s="8" t="e">
        <f>#REF!+ht!F28</f>
        <v>#REF!</v>
      </c>
      <c r="H28" s="8" t="e">
        <f>#REF!+ht!D28-ht!F28</f>
        <v>#REF!</v>
      </c>
      <c r="I28" s="8">
        <v>74.63</v>
      </c>
      <c r="J28" s="8">
        <v>0</v>
      </c>
      <c r="K28" s="8" t="e">
        <f>#REF!+ht!J28</f>
        <v>#REF!</v>
      </c>
      <c r="L28" s="8">
        <v>0</v>
      </c>
      <c r="M28" s="8" t="e">
        <f>#REF!+ht!L28</f>
        <v>#REF!</v>
      </c>
      <c r="N28" s="8" t="e">
        <f>#REF!+ht!J28-ht!M28</f>
        <v>#REF!</v>
      </c>
      <c r="O28" s="9">
        <f>D28+J28</f>
        <v>0</v>
      </c>
      <c r="P28" s="10">
        <v>0</v>
      </c>
      <c r="Q28" s="10">
        <v>0</v>
      </c>
      <c r="R28" s="8" t="e">
        <f>#REF!+ht!Q28</f>
        <v>#REF!</v>
      </c>
      <c r="S28" s="10">
        <v>0</v>
      </c>
      <c r="T28" s="8" t="e">
        <f>#REF!+ht!S28</f>
        <v>#REF!</v>
      </c>
      <c r="U28" s="8" t="e">
        <f>#REF!+ht!Q28-ht!S28</f>
        <v>#REF!</v>
      </c>
      <c r="V28" s="8" t="e">
        <f t="shared" si="0"/>
        <v>#REF!</v>
      </c>
    </row>
    <row r="29" spans="1:23" s="11" customFormat="1" ht="19.5" customHeight="1" x14ac:dyDescent="0.3">
      <c r="A29" s="5">
        <v>17</v>
      </c>
      <c r="B29" s="6" t="s">
        <v>64</v>
      </c>
      <c r="C29" s="7"/>
      <c r="D29" s="8">
        <v>0</v>
      </c>
      <c r="E29" s="8" t="e">
        <f>#REF!+ht!D29</f>
        <v>#REF!</v>
      </c>
      <c r="F29" s="8">
        <v>0</v>
      </c>
      <c r="G29" s="8" t="e">
        <f>#REF!+ht!F29</f>
        <v>#REF!</v>
      </c>
      <c r="H29" s="8" t="e">
        <f>#REF!+ht!D29-ht!F29</f>
        <v>#REF!</v>
      </c>
      <c r="I29" s="8"/>
      <c r="J29" s="8">
        <v>0</v>
      </c>
      <c r="K29" s="8" t="e">
        <f>#REF!+ht!J29</f>
        <v>#REF!</v>
      </c>
      <c r="L29" s="8">
        <v>0</v>
      </c>
      <c r="M29" s="8" t="e">
        <f>#REF!+ht!L29</f>
        <v>#REF!</v>
      </c>
      <c r="N29" s="8" t="e">
        <f>#REF!+ht!J29-ht!M29</f>
        <v>#REF!</v>
      </c>
      <c r="O29" s="9"/>
      <c r="P29" s="10"/>
      <c r="Q29" s="10">
        <v>0</v>
      </c>
      <c r="R29" s="8" t="e">
        <f>#REF!+ht!Q29</f>
        <v>#REF!</v>
      </c>
      <c r="S29" s="10">
        <v>0</v>
      </c>
      <c r="T29" s="8" t="e">
        <f>#REF!+ht!S29</f>
        <v>#REF!</v>
      </c>
      <c r="U29" s="8" t="e">
        <f>#REF!+ht!Q29-ht!S29</f>
        <v>#REF!</v>
      </c>
      <c r="V29" s="8" t="e">
        <f t="shared" si="0"/>
        <v>#REF!</v>
      </c>
    </row>
    <row r="30" spans="1:23" s="11" customFormat="1" ht="21.75" customHeight="1" x14ac:dyDescent="0.3">
      <c r="A30" s="5">
        <v>18</v>
      </c>
      <c r="B30" s="6" t="s">
        <v>34</v>
      </c>
      <c r="C30" s="7"/>
      <c r="D30" s="8">
        <v>0</v>
      </c>
      <c r="E30" s="8" t="e">
        <f>#REF!+ht!D30</f>
        <v>#REF!</v>
      </c>
      <c r="F30" s="8">
        <v>0</v>
      </c>
      <c r="G30" s="8" t="e">
        <f>#REF!+ht!F30</f>
        <v>#REF!</v>
      </c>
      <c r="H30" s="8" t="e">
        <f>#REF!+ht!D30-ht!F30</f>
        <v>#REF!</v>
      </c>
      <c r="I30" s="8"/>
      <c r="J30" s="8">
        <v>0</v>
      </c>
      <c r="K30" s="8" t="e">
        <f>#REF!+ht!J30</f>
        <v>#REF!</v>
      </c>
      <c r="L30" s="8">
        <v>0</v>
      </c>
      <c r="M30" s="8" t="e">
        <f>#REF!+ht!L30</f>
        <v>#REF!</v>
      </c>
      <c r="N30" s="8" t="e">
        <f>#REF!+ht!J30-ht!M30</f>
        <v>#REF!</v>
      </c>
      <c r="O30" s="9"/>
      <c r="P30" s="10"/>
      <c r="Q30" s="10">
        <v>0</v>
      </c>
      <c r="R30" s="8" t="e">
        <f>#REF!+ht!Q30</f>
        <v>#REF!</v>
      </c>
      <c r="S30" s="10">
        <v>0</v>
      </c>
      <c r="T30" s="8" t="e">
        <f>#REF!+ht!S30</f>
        <v>#REF!</v>
      </c>
      <c r="U30" s="8" t="e">
        <f>#REF!+ht!Q30-ht!S30</f>
        <v>#REF!</v>
      </c>
      <c r="V30" s="8" t="e">
        <f t="shared" si="0"/>
        <v>#REF!</v>
      </c>
    </row>
    <row r="31" spans="1:23" s="11" customFormat="1" ht="20.25" customHeight="1" x14ac:dyDescent="0.3">
      <c r="A31" s="5">
        <v>19</v>
      </c>
      <c r="B31" s="6" t="s">
        <v>35</v>
      </c>
      <c r="C31" s="7">
        <v>1997.83</v>
      </c>
      <c r="D31" s="8">
        <v>0</v>
      </c>
      <c r="E31" s="8" t="e">
        <f>#REF!+ht!D31</f>
        <v>#REF!</v>
      </c>
      <c r="F31" s="8">
        <v>0</v>
      </c>
      <c r="G31" s="8" t="e">
        <f>#REF!+ht!F31</f>
        <v>#REF!</v>
      </c>
      <c r="H31" s="8" t="e">
        <f>#REF!+ht!D31-ht!F31</f>
        <v>#REF!</v>
      </c>
      <c r="I31" s="8">
        <v>109.83</v>
      </c>
      <c r="J31" s="8">
        <v>0</v>
      </c>
      <c r="K31" s="8" t="e">
        <f>#REF!+ht!J31</f>
        <v>#REF!</v>
      </c>
      <c r="L31" s="8">
        <v>0</v>
      </c>
      <c r="M31" s="8" t="e">
        <f>#REF!+ht!L31</f>
        <v>#REF!</v>
      </c>
      <c r="N31" s="8" t="e">
        <f>#REF!+ht!J31-ht!M31</f>
        <v>#REF!</v>
      </c>
      <c r="O31" s="9">
        <f>D31+J31</f>
        <v>0</v>
      </c>
      <c r="P31" s="10">
        <v>0</v>
      </c>
      <c r="Q31" s="10">
        <v>0</v>
      </c>
      <c r="R31" s="8" t="e">
        <f>#REF!+ht!Q31</f>
        <v>#REF!</v>
      </c>
      <c r="S31" s="10">
        <v>0</v>
      </c>
      <c r="T31" s="8" t="e">
        <f>#REF!+ht!S31</f>
        <v>#REF!</v>
      </c>
      <c r="U31" s="8" t="e">
        <f>#REF!+ht!Q31-ht!S31</f>
        <v>#REF!</v>
      </c>
      <c r="V31" s="8" t="e">
        <f t="shared" si="0"/>
        <v>#REF!</v>
      </c>
    </row>
    <row r="32" spans="1:23" s="16" customFormat="1" ht="24.75" customHeight="1" x14ac:dyDescent="0.25">
      <c r="A32" s="12"/>
      <c r="B32" s="13" t="s">
        <v>36</v>
      </c>
      <c r="C32" s="14">
        <v>15033.32</v>
      </c>
      <c r="D32" s="15">
        <f>D31+D30+D29+D28</f>
        <v>0</v>
      </c>
      <c r="E32" s="15" t="e">
        <f>#REF!+ht!D32</f>
        <v>#REF!</v>
      </c>
      <c r="F32" s="15">
        <f t="shared" ref="F32:V32" si="7">F31+F30+F29+F28</f>
        <v>0</v>
      </c>
      <c r="G32" s="15" t="e">
        <f>#REF!+ht!F32</f>
        <v>#REF!</v>
      </c>
      <c r="H32" s="15" t="e">
        <f>#REF!+ht!D32-ht!F32</f>
        <v>#REF!</v>
      </c>
      <c r="I32" s="15">
        <f t="shared" si="7"/>
        <v>184.45999999999998</v>
      </c>
      <c r="J32" s="15">
        <f t="shared" si="7"/>
        <v>0</v>
      </c>
      <c r="K32" s="15" t="e">
        <f>#REF!+ht!J32</f>
        <v>#REF!</v>
      </c>
      <c r="L32" s="15">
        <f t="shared" si="7"/>
        <v>0</v>
      </c>
      <c r="M32" s="15" t="e">
        <f>#REF!+ht!L32</f>
        <v>#REF!</v>
      </c>
      <c r="N32" s="15" t="e">
        <f>#REF!+ht!J32-ht!M32</f>
        <v>#REF!</v>
      </c>
      <c r="O32" s="15">
        <f t="shared" si="7"/>
        <v>0</v>
      </c>
      <c r="P32" s="15">
        <f t="shared" si="7"/>
        <v>0</v>
      </c>
      <c r="Q32" s="15">
        <f t="shared" si="7"/>
        <v>0</v>
      </c>
      <c r="R32" s="15" t="e">
        <f>#REF!+ht!Q32</f>
        <v>#REF!</v>
      </c>
      <c r="S32" s="15">
        <f t="shared" si="7"/>
        <v>0</v>
      </c>
      <c r="T32" s="15" t="e">
        <f>#REF!+ht!S32</f>
        <v>#REF!</v>
      </c>
      <c r="U32" s="15" t="e">
        <f>#REF!+ht!Q32-ht!S32</f>
        <v>#REF!</v>
      </c>
      <c r="V32" s="15" t="e">
        <f t="shared" si="7"/>
        <v>#REF!</v>
      </c>
      <c r="W32" s="17"/>
    </row>
    <row r="33" spans="1:23" s="11" customFormat="1" ht="23.25" customHeight="1" x14ac:dyDescent="0.3">
      <c r="A33" s="5">
        <v>20</v>
      </c>
      <c r="B33" s="6" t="s">
        <v>37</v>
      </c>
      <c r="C33" s="7">
        <v>3431.66</v>
      </c>
      <c r="D33" s="8">
        <v>0</v>
      </c>
      <c r="E33" s="8" t="e">
        <f>#REF!+ht!D33</f>
        <v>#REF!</v>
      </c>
      <c r="F33" s="8">
        <v>0</v>
      </c>
      <c r="G33" s="8" t="e">
        <f>#REF!+ht!F33</f>
        <v>#REF!</v>
      </c>
      <c r="H33" s="8" t="e">
        <f>#REF!+ht!D33-ht!F33</f>
        <v>#REF!</v>
      </c>
      <c r="I33" s="8">
        <v>3.8</v>
      </c>
      <c r="J33" s="8">
        <v>0</v>
      </c>
      <c r="K33" s="8" t="e">
        <f>#REF!+ht!J33</f>
        <v>#REF!</v>
      </c>
      <c r="L33" s="8">
        <v>0</v>
      </c>
      <c r="M33" s="8" t="e">
        <f>#REF!+ht!L33</f>
        <v>#REF!</v>
      </c>
      <c r="N33" s="8" t="e">
        <f>#REF!+ht!J33-ht!M33</f>
        <v>#REF!</v>
      </c>
      <c r="O33" s="9">
        <f>D33+J33</f>
        <v>0</v>
      </c>
      <c r="P33" s="10">
        <v>0</v>
      </c>
      <c r="Q33" s="10">
        <v>0</v>
      </c>
      <c r="R33" s="8" t="e">
        <f>#REF!+ht!Q33</f>
        <v>#REF!</v>
      </c>
      <c r="S33" s="10">
        <v>0</v>
      </c>
      <c r="T33" s="8" t="e">
        <f>#REF!+ht!S33</f>
        <v>#REF!</v>
      </c>
      <c r="U33" s="8" t="e">
        <f>#REF!+ht!Q33-ht!S33</f>
        <v>#REF!</v>
      </c>
      <c r="V33" s="8" t="e">
        <f t="shared" si="0"/>
        <v>#REF!</v>
      </c>
    </row>
    <row r="34" spans="1:23" s="11" customFormat="1" ht="20.25" customHeight="1" x14ac:dyDescent="0.3">
      <c r="A34" s="5">
        <v>21</v>
      </c>
      <c r="B34" s="6" t="s">
        <v>38</v>
      </c>
      <c r="C34" s="7">
        <v>3857.4</v>
      </c>
      <c r="D34" s="8">
        <v>0</v>
      </c>
      <c r="E34" s="8" t="e">
        <f>#REF!+ht!D34</f>
        <v>#REF!</v>
      </c>
      <c r="F34" s="8">
        <v>0</v>
      </c>
      <c r="G34" s="8" t="e">
        <f>#REF!+ht!F34</f>
        <v>#REF!</v>
      </c>
      <c r="H34" s="8" t="e">
        <f>#REF!+ht!D34-ht!F34</f>
        <v>#REF!</v>
      </c>
      <c r="I34" s="8">
        <v>2</v>
      </c>
      <c r="J34" s="8">
        <v>0</v>
      </c>
      <c r="K34" s="8" t="e">
        <f>#REF!+ht!J34</f>
        <v>#REF!</v>
      </c>
      <c r="L34" s="8">
        <v>0</v>
      </c>
      <c r="M34" s="8" t="e">
        <f>#REF!+ht!L34</f>
        <v>#REF!</v>
      </c>
      <c r="N34" s="8" t="e">
        <f>#REF!+ht!J34-ht!M34</f>
        <v>#REF!</v>
      </c>
      <c r="O34" s="9">
        <f>D34+J34</f>
        <v>0</v>
      </c>
      <c r="P34" s="10">
        <v>0</v>
      </c>
      <c r="Q34" s="10">
        <v>0</v>
      </c>
      <c r="R34" s="8" t="e">
        <f>#REF!+ht!Q34</f>
        <v>#REF!</v>
      </c>
      <c r="S34" s="10">
        <v>0</v>
      </c>
      <c r="T34" s="8" t="e">
        <f>#REF!+ht!S34</f>
        <v>#REF!</v>
      </c>
      <c r="U34" s="8" t="e">
        <f>#REF!+ht!Q34-ht!S34</f>
        <v>#REF!</v>
      </c>
      <c r="V34" s="8" t="e">
        <f t="shared" si="0"/>
        <v>#REF!</v>
      </c>
    </row>
    <row r="35" spans="1:23" s="11" customFormat="1" ht="21.75" customHeight="1" x14ac:dyDescent="0.3">
      <c r="A35" s="5">
        <v>22</v>
      </c>
      <c r="B35" s="6" t="s">
        <v>39</v>
      </c>
      <c r="C35" s="7">
        <v>2025.29</v>
      </c>
      <c r="D35" s="8">
        <v>0</v>
      </c>
      <c r="E35" s="8" t="e">
        <f>#REF!+ht!D35</f>
        <v>#REF!</v>
      </c>
      <c r="F35" s="8">
        <v>0</v>
      </c>
      <c r="G35" s="8" t="e">
        <f>#REF!+ht!F35</f>
        <v>#REF!</v>
      </c>
      <c r="H35" s="8" t="e">
        <f>#REF!+ht!D35-ht!F35</f>
        <v>#REF!</v>
      </c>
      <c r="I35" s="8">
        <v>7.3</v>
      </c>
      <c r="J35" s="8">
        <v>0</v>
      </c>
      <c r="K35" s="8" t="e">
        <f>#REF!+ht!J35</f>
        <v>#REF!</v>
      </c>
      <c r="L35" s="8">
        <v>0</v>
      </c>
      <c r="M35" s="8" t="e">
        <f>#REF!+ht!L35</f>
        <v>#REF!</v>
      </c>
      <c r="N35" s="8" t="e">
        <f>#REF!+ht!J35-ht!M35</f>
        <v>#REF!</v>
      </c>
      <c r="O35" s="9">
        <f>D35+J35</f>
        <v>0</v>
      </c>
      <c r="P35" s="10">
        <v>0</v>
      </c>
      <c r="Q35" s="10">
        <v>0</v>
      </c>
      <c r="R35" s="8" t="e">
        <f>#REF!+ht!Q35</f>
        <v>#REF!</v>
      </c>
      <c r="S35" s="10">
        <v>0</v>
      </c>
      <c r="T35" s="8" t="e">
        <f>#REF!+ht!S35</f>
        <v>#REF!</v>
      </c>
      <c r="U35" s="8" t="e">
        <f>#REF!+ht!Q35-ht!S35</f>
        <v>#REF!</v>
      </c>
      <c r="V35" s="8" t="e">
        <f t="shared" si="0"/>
        <v>#REF!</v>
      </c>
    </row>
    <row r="36" spans="1:23" s="11" customFormat="1" ht="17.25" customHeight="1" x14ac:dyDescent="0.3">
      <c r="A36" s="5">
        <v>23</v>
      </c>
      <c r="B36" s="6" t="s">
        <v>40</v>
      </c>
      <c r="C36" s="7">
        <v>2997.81</v>
      </c>
      <c r="D36" s="8">
        <v>0</v>
      </c>
      <c r="E36" s="8" t="e">
        <f>#REF!+ht!D36</f>
        <v>#REF!</v>
      </c>
      <c r="F36" s="8">
        <v>0</v>
      </c>
      <c r="G36" s="8" t="e">
        <f>#REF!+ht!F36</f>
        <v>#REF!</v>
      </c>
      <c r="H36" s="8" t="e">
        <f>#REF!+ht!D36-ht!F36</f>
        <v>#REF!</v>
      </c>
      <c r="I36" s="8">
        <v>3.46</v>
      </c>
      <c r="J36" s="8">
        <v>0</v>
      </c>
      <c r="K36" s="8" t="e">
        <f>#REF!+ht!J36</f>
        <v>#REF!</v>
      </c>
      <c r="L36" s="8">
        <v>0</v>
      </c>
      <c r="M36" s="8" t="e">
        <f>#REF!+ht!L36</f>
        <v>#REF!</v>
      </c>
      <c r="N36" s="8" t="e">
        <f>#REF!+ht!J36-ht!M36</f>
        <v>#REF!</v>
      </c>
      <c r="O36" s="9">
        <f>D36+J36</f>
        <v>0</v>
      </c>
      <c r="P36" s="10">
        <v>0</v>
      </c>
      <c r="Q36" s="10">
        <v>0</v>
      </c>
      <c r="R36" s="8" t="e">
        <f>#REF!+ht!Q36</f>
        <v>#REF!</v>
      </c>
      <c r="S36" s="10">
        <v>0</v>
      </c>
      <c r="T36" s="8" t="e">
        <f>#REF!+ht!S36</f>
        <v>#REF!</v>
      </c>
      <c r="U36" s="8" t="e">
        <f>#REF!+ht!Q36-ht!S36</f>
        <v>#REF!</v>
      </c>
      <c r="V36" s="8" t="e">
        <f t="shared" si="0"/>
        <v>#REF!</v>
      </c>
    </row>
    <row r="37" spans="1:23" s="16" customFormat="1" ht="24" customHeight="1" x14ac:dyDescent="0.25">
      <c r="A37" s="12"/>
      <c r="B37" s="13" t="s">
        <v>41</v>
      </c>
      <c r="C37" s="14">
        <v>12312.159999999998</v>
      </c>
      <c r="D37" s="15">
        <f>SUM(D33:D36)</f>
        <v>0</v>
      </c>
      <c r="E37" s="15" t="e">
        <f>#REF!+ht!D37</f>
        <v>#REF!</v>
      </c>
      <c r="F37" s="15">
        <f t="shared" ref="F37:V37" si="8">SUM(F33:F36)</f>
        <v>0</v>
      </c>
      <c r="G37" s="15" t="e">
        <f>#REF!+ht!F37</f>
        <v>#REF!</v>
      </c>
      <c r="H37" s="15" t="e">
        <f>#REF!+ht!D37-ht!F37</f>
        <v>#REF!</v>
      </c>
      <c r="I37" s="15">
        <f t="shared" si="8"/>
        <v>16.559999999999999</v>
      </c>
      <c r="J37" s="15">
        <f t="shared" si="8"/>
        <v>0</v>
      </c>
      <c r="K37" s="15" t="e">
        <f>#REF!+ht!J37</f>
        <v>#REF!</v>
      </c>
      <c r="L37" s="15">
        <f t="shared" si="8"/>
        <v>0</v>
      </c>
      <c r="M37" s="15" t="e">
        <f>#REF!+ht!L37</f>
        <v>#REF!</v>
      </c>
      <c r="N37" s="15" t="e">
        <f>#REF!+ht!J37-ht!M37</f>
        <v>#REF!</v>
      </c>
      <c r="O37" s="15">
        <f t="shared" si="8"/>
        <v>0</v>
      </c>
      <c r="P37" s="15">
        <f t="shared" si="8"/>
        <v>0</v>
      </c>
      <c r="Q37" s="15">
        <f t="shared" si="8"/>
        <v>0</v>
      </c>
      <c r="R37" s="15" t="e">
        <f>#REF!+ht!Q37</f>
        <v>#REF!</v>
      </c>
      <c r="S37" s="15">
        <f t="shared" si="8"/>
        <v>0</v>
      </c>
      <c r="T37" s="15" t="e">
        <f>#REF!+ht!S37</f>
        <v>#REF!</v>
      </c>
      <c r="U37" s="15" t="e">
        <f>#REF!+ht!Q37-ht!S37</f>
        <v>#REF!</v>
      </c>
      <c r="V37" s="15" t="e">
        <f t="shared" si="8"/>
        <v>#REF!</v>
      </c>
      <c r="W37" s="17"/>
    </row>
    <row r="38" spans="1:23" s="16" customFormat="1" ht="24.75" customHeight="1" x14ac:dyDescent="0.25">
      <c r="A38" s="12"/>
      <c r="B38" s="13" t="s">
        <v>42</v>
      </c>
      <c r="C38" s="14">
        <v>27345.479999999996</v>
      </c>
      <c r="D38" s="15">
        <f>D37+D32+D27</f>
        <v>0</v>
      </c>
      <c r="E38" s="15" t="e">
        <f>#REF!+ht!D38</f>
        <v>#REF!</v>
      </c>
      <c r="F38" s="15">
        <f t="shared" ref="F38:V38" si="9">F37+F32+F27</f>
        <v>0</v>
      </c>
      <c r="G38" s="15" t="e">
        <f>#REF!+ht!F38</f>
        <v>#REF!</v>
      </c>
      <c r="H38" s="15" t="e">
        <f>#REF!+ht!D38-ht!F38</f>
        <v>#REF!</v>
      </c>
      <c r="I38" s="15">
        <f t="shared" si="9"/>
        <v>290.77</v>
      </c>
      <c r="J38" s="15">
        <f t="shared" si="9"/>
        <v>0</v>
      </c>
      <c r="K38" s="15" t="e">
        <f>#REF!+ht!J38</f>
        <v>#REF!</v>
      </c>
      <c r="L38" s="15">
        <f t="shared" si="9"/>
        <v>0</v>
      </c>
      <c r="M38" s="15" t="e">
        <f>#REF!+ht!L38</f>
        <v>#REF!</v>
      </c>
      <c r="N38" s="15" t="e">
        <f>#REF!+ht!J38-ht!M38</f>
        <v>#REF!</v>
      </c>
      <c r="O38" s="15">
        <f t="shared" si="9"/>
        <v>0</v>
      </c>
      <c r="P38" s="15">
        <f t="shared" si="9"/>
        <v>0</v>
      </c>
      <c r="Q38" s="15">
        <f t="shared" si="9"/>
        <v>0</v>
      </c>
      <c r="R38" s="15" t="e">
        <f>#REF!+ht!Q38</f>
        <v>#REF!</v>
      </c>
      <c r="S38" s="15">
        <f t="shared" si="9"/>
        <v>0</v>
      </c>
      <c r="T38" s="15" t="e">
        <f>#REF!+ht!S38</f>
        <v>#REF!</v>
      </c>
      <c r="U38" s="15" t="e">
        <f>#REF!+ht!Q38-ht!S38</f>
        <v>#REF!</v>
      </c>
      <c r="V38" s="15" t="e">
        <f t="shared" si="9"/>
        <v>#REF!</v>
      </c>
      <c r="W38" s="17"/>
    </row>
    <row r="39" spans="1:23" s="11" customFormat="1" ht="23.25" customHeight="1" x14ac:dyDescent="0.3">
      <c r="A39" s="5">
        <v>24</v>
      </c>
      <c r="B39" s="6" t="s">
        <v>43</v>
      </c>
      <c r="C39" s="7">
        <v>2519.0973333333336</v>
      </c>
      <c r="D39" s="8">
        <v>0</v>
      </c>
      <c r="E39" s="8" t="e">
        <f>#REF!+ht!D39</f>
        <v>#REF!</v>
      </c>
      <c r="F39" s="8">
        <v>0</v>
      </c>
      <c r="G39" s="8" t="e">
        <f>#REF!+ht!F39</f>
        <v>#REF!</v>
      </c>
      <c r="H39" s="8" t="e">
        <f>#REF!+ht!D39-ht!F39</f>
        <v>#REF!</v>
      </c>
      <c r="I39" s="8">
        <v>0</v>
      </c>
      <c r="J39" s="8">
        <v>0</v>
      </c>
      <c r="K39" s="8" t="e">
        <f>#REF!+ht!J39</f>
        <v>#REF!</v>
      </c>
      <c r="L39" s="8">
        <v>0</v>
      </c>
      <c r="M39" s="8" t="e">
        <f>#REF!+ht!L39</f>
        <v>#REF!</v>
      </c>
      <c r="N39" s="8" t="e">
        <f>#REF!+ht!J39-ht!M39</f>
        <v>#REF!</v>
      </c>
      <c r="O39" s="9">
        <f>D39+J39</f>
        <v>0</v>
      </c>
      <c r="P39" s="10">
        <v>0</v>
      </c>
      <c r="Q39" s="8">
        <v>0</v>
      </c>
      <c r="R39" s="8" t="e">
        <f>#REF!+ht!Q39</f>
        <v>#REF!</v>
      </c>
      <c r="S39" s="10">
        <v>0</v>
      </c>
      <c r="T39" s="8" t="e">
        <f>#REF!+ht!S39</f>
        <v>#REF!</v>
      </c>
      <c r="U39" s="8" t="e">
        <f>#REF!+ht!Q39-ht!S39</f>
        <v>#REF!</v>
      </c>
      <c r="V39" s="8" t="e">
        <f t="shared" si="0"/>
        <v>#REF!</v>
      </c>
    </row>
    <row r="40" spans="1:23" s="11" customFormat="1" ht="21.75" customHeight="1" x14ac:dyDescent="0.3">
      <c r="A40" s="5">
        <v>25</v>
      </c>
      <c r="B40" s="6" t="s">
        <v>44</v>
      </c>
      <c r="C40" s="7">
        <v>1849.9516666666666</v>
      </c>
      <c r="D40" s="8">
        <v>0</v>
      </c>
      <c r="E40" s="8" t="e">
        <f>#REF!+ht!D40</f>
        <v>#REF!</v>
      </c>
      <c r="F40" s="8">
        <v>0</v>
      </c>
      <c r="G40" s="8" t="e">
        <f>#REF!+ht!F40</f>
        <v>#REF!</v>
      </c>
      <c r="H40" s="8" t="e">
        <f>#REF!+ht!D40-ht!F40</f>
        <v>#REF!</v>
      </c>
      <c r="I40" s="8">
        <v>0</v>
      </c>
      <c r="J40" s="8">
        <v>0</v>
      </c>
      <c r="K40" s="8" t="e">
        <f>#REF!+ht!J40</f>
        <v>#REF!</v>
      </c>
      <c r="L40" s="8">
        <v>0</v>
      </c>
      <c r="M40" s="8" t="e">
        <f>#REF!+ht!L40</f>
        <v>#REF!</v>
      </c>
      <c r="N40" s="8" t="e">
        <f>#REF!+ht!J40-ht!M40</f>
        <v>#REF!</v>
      </c>
      <c r="O40" s="9">
        <f>D40+J40</f>
        <v>0</v>
      </c>
      <c r="P40" s="10">
        <v>0</v>
      </c>
      <c r="Q40" s="8">
        <v>0</v>
      </c>
      <c r="R40" s="8" t="e">
        <f>#REF!+ht!Q40</f>
        <v>#REF!</v>
      </c>
      <c r="S40" s="10">
        <v>0</v>
      </c>
      <c r="T40" s="8" t="e">
        <f>#REF!+ht!S40</f>
        <v>#REF!</v>
      </c>
      <c r="U40" s="8" t="e">
        <f>#REF!+ht!Q40-ht!S40</f>
        <v>#REF!</v>
      </c>
      <c r="V40" s="8" t="e">
        <f t="shared" si="0"/>
        <v>#REF!</v>
      </c>
    </row>
    <row r="41" spans="1:23" s="11" customFormat="1" ht="19.5" customHeight="1" x14ac:dyDescent="0.3">
      <c r="A41" s="5">
        <v>26</v>
      </c>
      <c r="B41" s="6" t="s">
        <v>45</v>
      </c>
      <c r="C41" s="7">
        <v>2835.8183333333332</v>
      </c>
      <c r="D41" s="8">
        <v>0</v>
      </c>
      <c r="E41" s="8" t="e">
        <f>#REF!+ht!D41</f>
        <v>#REF!</v>
      </c>
      <c r="F41" s="8">
        <v>0</v>
      </c>
      <c r="G41" s="8" t="e">
        <f>#REF!+ht!F41</f>
        <v>#REF!</v>
      </c>
      <c r="H41" s="8" t="e">
        <f>#REF!+ht!D41-ht!F41</f>
        <v>#REF!</v>
      </c>
      <c r="I41" s="8">
        <v>0</v>
      </c>
      <c r="J41" s="8">
        <v>0</v>
      </c>
      <c r="K41" s="8" t="e">
        <f>#REF!+ht!J41</f>
        <v>#REF!</v>
      </c>
      <c r="L41" s="8">
        <v>0</v>
      </c>
      <c r="M41" s="8" t="e">
        <f>#REF!+ht!L41</f>
        <v>#REF!</v>
      </c>
      <c r="N41" s="8" t="e">
        <f>#REF!+ht!J41-ht!M41</f>
        <v>#REF!</v>
      </c>
      <c r="O41" s="9">
        <f>D41+J41</f>
        <v>0</v>
      </c>
      <c r="P41" s="10">
        <v>0</v>
      </c>
      <c r="Q41" s="8">
        <v>0</v>
      </c>
      <c r="R41" s="8" t="e">
        <f>#REF!+ht!Q41</f>
        <v>#REF!</v>
      </c>
      <c r="S41" s="10">
        <v>0</v>
      </c>
      <c r="T41" s="8" t="e">
        <f>#REF!+ht!S41</f>
        <v>#REF!</v>
      </c>
      <c r="U41" s="8" t="e">
        <f>#REF!+ht!Q41-ht!S41</f>
        <v>#REF!</v>
      </c>
      <c r="V41" s="8" t="e">
        <f t="shared" si="0"/>
        <v>#REF!</v>
      </c>
    </row>
    <row r="42" spans="1:23" s="11" customFormat="1" ht="19.5" customHeight="1" x14ac:dyDescent="0.3">
      <c r="A42" s="5">
        <v>27</v>
      </c>
      <c r="B42" s="6" t="s">
        <v>63</v>
      </c>
      <c r="C42" s="7"/>
      <c r="D42" s="8">
        <v>0</v>
      </c>
      <c r="E42" s="8" t="e">
        <f>#REF!+ht!D42</f>
        <v>#REF!</v>
      </c>
      <c r="F42" s="8">
        <v>0</v>
      </c>
      <c r="G42" s="8" t="e">
        <f>#REF!+ht!F42</f>
        <v>#REF!</v>
      </c>
      <c r="H42" s="8" t="e">
        <f>#REF!+ht!D42-ht!F42</f>
        <v>#REF!</v>
      </c>
      <c r="I42" s="8"/>
      <c r="J42" s="8">
        <v>0</v>
      </c>
      <c r="K42" s="8" t="e">
        <f>#REF!+ht!J42</f>
        <v>#REF!</v>
      </c>
      <c r="L42" s="8">
        <v>0</v>
      </c>
      <c r="M42" s="8" t="e">
        <f>#REF!+ht!L42</f>
        <v>#REF!</v>
      </c>
      <c r="N42" s="8" t="e">
        <f>#REF!+ht!J42-ht!M42</f>
        <v>#REF!</v>
      </c>
      <c r="O42" s="9"/>
      <c r="P42" s="10"/>
      <c r="Q42" s="8">
        <v>0</v>
      </c>
      <c r="R42" s="8" t="e">
        <f>#REF!+ht!Q42</f>
        <v>#REF!</v>
      </c>
      <c r="S42" s="10">
        <v>0</v>
      </c>
      <c r="T42" s="8" t="e">
        <f>#REF!+ht!S42</f>
        <v>#REF!</v>
      </c>
      <c r="U42" s="8" t="e">
        <f>#REF!+ht!Q42-ht!S42</f>
        <v>#REF!</v>
      </c>
      <c r="V42" s="8" t="e">
        <f t="shared" si="0"/>
        <v>#REF!</v>
      </c>
    </row>
    <row r="43" spans="1:23" s="16" customFormat="1" ht="19.5" customHeight="1" x14ac:dyDescent="0.25">
      <c r="A43" s="12"/>
      <c r="B43" s="13" t="s">
        <v>46</v>
      </c>
      <c r="C43" s="14">
        <v>7204.8673333333336</v>
      </c>
      <c r="D43" s="15">
        <f>SUM(D39:D42)</f>
        <v>0</v>
      </c>
      <c r="E43" s="15" t="e">
        <f>#REF!+ht!D43</f>
        <v>#REF!</v>
      </c>
      <c r="F43" s="15">
        <f t="shared" ref="F43:V43" si="10">SUM(F39:F42)</f>
        <v>0</v>
      </c>
      <c r="G43" s="15" t="e">
        <f>#REF!+ht!F43</f>
        <v>#REF!</v>
      </c>
      <c r="H43" s="15" t="e">
        <f>#REF!+ht!D43-ht!F43</f>
        <v>#REF!</v>
      </c>
      <c r="I43" s="15">
        <f t="shared" si="10"/>
        <v>0</v>
      </c>
      <c r="J43" s="15">
        <f t="shared" si="10"/>
        <v>0</v>
      </c>
      <c r="K43" s="15" t="e">
        <f>#REF!+ht!J43</f>
        <v>#REF!</v>
      </c>
      <c r="L43" s="15">
        <f t="shared" si="10"/>
        <v>0</v>
      </c>
      <c r="M43" s="15" t="e">
        <f>#REF!+ht!L43</f>
        <v>#REF!</v>
      </c>
      <c r="N43" s="15" t="e">
        <f>#REF!+ht!J43-ht!M43</f>
        <v>#REF!</v>
      </c>
      <c r="O43" s="15">
        <f t="shared" si="10"/>
        <v>0</v>
      </c>
      <c r="P43" s="15">
        <f t="shared" si="10"/>
        <v>0</v>
      </c>
      <c r="Q43" s="15">
        <f t="shared" si="10"/>
        <v>0</v>
      </c>
      <c r="R43" s="15" t="e">
        <f>#REF!+ht!Q43</f>
        <v>#REF!</v>
      </c>
      <c r="S43" s="15">
        <f t="shared" si="10"/>
        <v>0</v>
      </c>
      <c r="T43" s="15" t="e">
        <f>#REF!+ht!S43</f>
        <v>#REF!</v>
      </c>
      <c r="U43" s="15" t="e">
        <f>#REF!+ht!Q43-ht!S43</f>
        <v>#REF!</v>
      </c>
      <c r="V43" s="15" t="e">
        <f t="shared" si="10"/>
        <v>#REF!</v>
      </c>
      <c r="W43" s="17"/>
    </row>
    <row r="44" spans="1:23" s="11" customFormat="1" ht="18.75" customHeight="1" x14ac:dyDescent="0.3">
      <c r="A44" s="5">
        <v>28</v>
      </c>
      <c r="B44" s="6" t="s">
        <v>47</v>
      </c>
      <c r="C44" s="7">
        <v>1805.24</v>
      </c>
      <c r="D44" s="8">
        <v>0</v>
      </c>
      <c r="E44" s="8" t="e">
        <f>#REF!+ht!D44</f>
        <v>#REF!</v>
      </c>
      <c r="F44" s="8">
        <v>0</v>
      </c>
      <c r="G44" s="8" t="e">
        <f>#REF!+ht!F44</f>
        <v>#REF!</v>
      </c>
      <c r="H44" s="8" t="e">
        <f>#REF!+ht!D44-ht!F44</f>
        <v>#REF!</v>
      </c>
      <c r="I44" s="8">
        <v>0.68</v>
      </c>
      <c r="J44" s="8">
        <v>0</v>
      </c>
      <c r="K44" s="8" t="e">
        <f>#REF!+ht!J44</f>
        <v>#REF!</v>
      </c>
      <c r="L44" s="8">
        <v>0</v>
      </c>
      <c r="M44" s="8" t="e">
        <f>#REF!+ht!L44</f>
        <v>#REF!</v>
      </c>
      <c r="N44" s="8" t="e">
        <f>#REF!+ht!J44-ht!M44</f>
        <v>#REF!</v>
      </c>
      <c r="O44" s="9">
        <f>D44+J44</f>
        <v>0</v>
      </c>
      <c r="P44" s="10">
        <v>14.43</v>
      </c>
      <c r="Q44" s="10">
        <v>0</v>
      </c>
      <c r="R44" s="8" t="e">
        <f>#REF!+ht!Q44</f>
        <v>#REF!</v>
      </c>
      <c r="S44" s="10">
        <v>0</v>
      </c>
      <c r="T44" s="8" t="e">
        <f>#REF!+ht!S44</f>
        <v>#REF!</v>
      </c>
      <c r="U44" s="8" t="e">
        <f>#REF!+ht!Q44-ht!S44</f>
        <v>#REF!</v>
      </c>
      <c r="V44" s="8" t="e">
        <f t="shared" si="0"/>
        <v>#REF!</v>
      </c>
    </row>
    <row r="45" spans="1:23" s="11" customFormat="1" ht="21" customHeight="1" x14ac:dyDescent="0.3">
      <c r="A45" s="5">
        <v>29</v>
      </c>
      <c r="B45" s="6" t="s">
        <v>48</v>
      </c>
      <c r="C45" s="7">
        <v>1445.46</v>
      </c>
      <c r="D45" s="8">
        <v>0</v>
      </c>
      <c r="E45" s="8" t="e">
        <f>#REF!+ht!D45</f>
        <v>#REF!</v>
      </c>
      <c r="F45" s="8">
        <v>0</v>
      </c>
      <c r="G45" s="8" t="e">
        <f>#REF!+ht!F45</f>
        <v>#REF!</v>
      </c>
      <c r="H45" s="8" t="e">
        <f>#REF!+ht!D45-ht!F45</f>
        <v>#REF!</v>
      </c>
      <c r="I45" s="8">
        <v>0.96</v>
      </c>
      <c r="J45" s="8">
        <v>0</v>
      </c>
      <c r="K45" s="8" t="e">
        <f>#REF!+ht!J45</f>
        <v>#REF!</v>
      </c>
      <c r="L45" s="8">
        <v>0</v>
      </c>
      <c r="M45" s="8" t="e">
        <f>#REF!+ht!L45</f>
        <v>#REF!</v>
      </c>
      <c r="N45" s="8" t="e">
        <f>#REF!+ht!J45-ht!M45</f>
        <v>#REF!</v>
      </c>
      <c r="O45" s="9">
        <f>D45+J45</f>
        <v>0</v>
      </c>
      <c r="P45" s="10">
        <v>0</v>
      </c>
      <c r="Q45" s="10">
        <v>0</v>
      </c>
      <c r="R45" s="8" t="e">
        <f>#REF!+ht!Q45</f>
        <v>#REF!</v>
      </c>
      <c r="S45" s="10">
        <v>0</v>
      </c>
      <c r="T45" s="8" t="e">
        <f>#REF!+ht!S45</f>
        <v>#REF!</v>
      </c>
      <c r="U45" s="8" t="e">
        <f>#REF!+ht!Q45-ht!S45</f>
        <v>#REF!</v>
      </c>
      <c r="V45" s="8" t="e">
        <f t="shared" si="0"/>
        <v>#REF!</v>
      </c>
    </row>
    <row r="46" spans="1:23" s="11" customFormat="1" ht="21.75" customHeight="1" x14ac:dyDescent="0.3">
      <c r="A46" s="5">
        <v>30</v>
      </c>
      <c r="B46" s="6" t="s">
        <v>49</v>
      </c>
      <c r="C46" s="7">
        <v>1814.93</v>
      </c>
      <c r="D46" s="8">
        <v>0</v>
      </c>
      <c r="E46" s="8" t="e">
        <f>#REF!+ht!D46</f>
        <v>#REF!</v>
      </c>
      <c r="F46" s="8">
        <v>0</v>
      </c>
      <c r="G46" s="8" t="e">
        <f>#REF!+ht!F46</f>
        <v>#REF!</v>
      </c>
      <c r="H46" s="8" t="e">
        <f>#REF!+ht!D46-ht!F46</f>
        <v>#REF!</v>
      </c>
      <c r="I46" s="8">
        <v>6.89</v>
      </c>
      <c r="J46" s="8">
        <v>0</v>
      </c>
      <c r="K46" s="8" t="e">
        <f>#REF!+ht!J46</f>
        <v>#REF!</v>
      </c>
      <c r="L46" s="8">
        <v>0</v>
      </c>
      <c r="M46" s="8" t="e">
        <f>#REF!+ht!L46</f>
        <v>#REF!</v>
      </c>
      <c r="N46" s="8" t="e">
        <f>#REF!+ht!J46-ht!M46</f>
        <v>#REF!</v>
      </c>
      <c r="O46" s="9">
        <f>D46+J46</f>
        <v>0</v>
      </c>
      <c r="P46" s="10">
        <v>0.03</v>
      </c>
      <c r="Q46" s="10">
        <v>0</v>
      </c>
      <c r="R46" s="8" t="e">
        <f>#REF!+ht!Q46</f>
        <v>#REF!</v>
      </c>
      <c r="S46" s="10">
        <v>0</v>
      </c>
      <c r="T46" s="8" t="e">
        <f>#REF!+ht!S46</f>
        <v>#REF!</v>
      </c>
      <c r="U46" s="8" t="e">
        <f>#REF!+ht!Q46-ht!S46</f>
        <v>#REF!</v>
      </c>
      <c r="V46" s="8" t="e">
        <f t="shared" si="0"/>
        <v>#REF!</v>
      </c>
    </row>
    <row r="47" spans="1:23" s="11" customFormat="1" ht="15.75" customHeight="1" x14ac:dyDescent="0.3">
      <c r="A47" s="5">
        <v>31</v>
      </c>
      <c r="B47" s="6" t="s">
        <v>50</v>
      </c>
      <c r="C47" s="7">
        <v>1723.79</v>
      </c>
      <c r="D47" s="8">
        <v>0</v>
      </c>
      <c r="E47" s="8" t="e">
        <f>#REF!+ht!D47</f>
        <v>#REF!</v>
      </c>
      <c r="F47" s="8">
        <v>0</v>
      </c>
      <c r="G47" s="8" t="e">
        <f>#REF!+ht!F47</f>
        <v>#REF!</v>
      </c>
      <c r="H47" s="8" t="e">
        <f>#REF!+ht!D47-ht!F47</f>
        <v>#REF!</v>
      </c>
      <c r="I47" s="8">
        <v>0.505</v>
      </c>
      <c r="J47" s="8">
        <v>0</v>
      </c>
      <c r="K47" s="8" t="e">
        <f>#REF!+ht!J47</f>
        <v>#REF!</v>
      </c>
      <c r="L47" s="8">
        <v>0</v>
      </c>
      <c r="M47" s="8" t="e">
        <f>#REF!+ht!L47</f>
        <v>#REF!</v>
      </c>
      <c r="N47" s="8" t="e">
        <f>#REF!+ht!J47-ht!M47</f>
        <v>#REF!</v>
      </c>
      <c r="O47" s="9">
        <f>D47+J47</f>
        <v>0</v>
      </c>
      <c r="P47" s="10">
        <v>14.43</v>
      </c>
      <c r="Q47" s="10">
        <v>0</v>
      </c>
      <c r="R47" s="8" t="e">
        <f>#REF!+ht!Q47</f>
        <v>#REF!</v>
      </c>
      <c r="S47" s="10">
        <v>0</v>
      </c>
      <c r="T47" s="8" t="e">
        <f>#REF!+ht!S47</f>
        <v>#REF!</v>
      </c>
      <c r="U47" s="8" t="e">
        <f>#REF!+ht!Q47-ht!S47</f>
        <v>#REF!</v>
      </c>
      <c r="V47" s="8" t="e">
        <f t="shared" si="0"/>
        <v>#REF!</v>
      </c>
    </row>
    <row r="48" spans="1:23" s="16" customFormat="1" ht="27" customHeight="1" x14ac:dyDescent="0.25">
      <c r="A48" s="12"/>
      <c r="B48" s="13" t="s">
        <v>51</v>
      </c>
      <c r="C48" s="14">
        <v>6789.42</v>
      </c>
      <c r="D48" s="15">
        <f>SUM(D44:D47)</f>
        <v>0</v>
      </c>
      <c r="E48" s="15" t="e">
        <f>#REF!+ht!D48</f>
        <v>#REF!</v>
      </c>
      <c r="F48" s="15">
        <f t="shared" ref="F48:V48" si="11">SUM(F44:F47)</f>
        <v>0</v>
      </c>
      <c r="G48" s="15" t="e">
        <f>#REF!+ht!F48</f>
        <v>#REF!</v>
      </c>
      <c r="H48" s="15" t="e">
        <f>#REF!+ht!D48-ht!F48</f>
        <v>#REF!</v>
      </c>
      <c r="I48" s="15">
        <f t="shared" si="11"/>
        <v>9.0350000000000001</v>
      </c>
      <c r="J48" s="15">
        <f t="shared" si="11"/>
        <v>0</v>
      </c>
      <c r="K48" s="15" t="e">
        <f>#REF!+ht!J48</f>
        <v>#REF!</v>
      </c>
      <c r="L48" s="15">
        <f t="shared" si="11"/>
        <v>0</v>
      </c>
      <c r="M48" s="15" t="e">
        <f>#REF!+ht!L48</f>
        <v>#REF!</v>
      </c>
      <c r="N48" s="15" t="e">
        <f>#REF!+ht!J48-ht!M48</f>
        <v>#REF!</v>
      </c>
      <c r="O48" s="15">
        <f t="shared" si="11"/>
        <v>0</v>
      </c>
      <c r="P48" s="15">
        <f t="shared" si="11"/>
        <v>28.89</v>
      </c>
      <c r="Q48" s="15">
        <f t="shared" si="11"/>
        <v>0</v>
      </c>
      <c r="R48" s="15" t="e">
        <f>#REF!+ht!Q48</f>
        <v>#REF!</v>
      </c>
      <c r="S48" s="15">
        <f t="shared" si="11"/>
        <v>0</v>
      </c>
      <c r="T48" s="15" t="e">
        <f>#REF!+ht!S48</f>
        <v>#REF!</v>
      </c>
      <c r="U48" s="15" t="e">
        <f>#REF!+ht!Q48-ht!S48</f>
        <v>#REF!</v>
      </c>
      <c r="V48" s="15" t="e">
        <f t="shared" si="11"/>
        <v>#REF!</v>
      </c>
      <c r="W48" s="17"/>
    </row>
    <row r="49" spans="1:23" s="16" customFormat="1" ht="24.75" customHeight="1" x14ac:dyDescent="0.25">
      <c r="A49" s="12"/>
      <c r="B49" s="13" t="s">
        <v>52</v>
      </c>
      <c r="C49" s="14">
        <v>13994.287333333334</v>
      </c>
      <c r="D49" s="15">
        <f>D43+D48</f>
        <v>0</v>
      </c>
      <c r="E49" s="15" t="e">
        <f>#REF!+ht!D49</f>
        <v>#REF!</v>
      </c>
      <c r="F49" s="15">
        <f t="shared" ref="F49:V49" si="12">F43+F48</f>
        <v>0</v>
      </c>
      <c r="G49" s="15" t="e">
        <f>#REF!+ht!F49</f>
        <v>#REF!</v>
      </c>
      <c r="H49" s="15" t="e">
        <f>#REF!+ht!D49-ht!F49</f>
        <v>#REF!</v>
      </c>
      <c r="I49" s="15">
        <f t="shared" si="12"/>
        <v>9.0350000000000001</v>
      </c>
      <c r="J49" s="15">
        <f t="shared" si="12"/>
        <v>0</v>
      </c>
      <c r="K49" s="15" t="e">
        <f>#REF!+ht!J49</f>
        <v>#REF!</v>
      </c>
      <c r="L49" s="15">
        <f t="shared" si="12"/>
        <v>0</v>
      </c>
      <c r="M49" s="15" t="e">
        <f>#REF!+ht!L49</f>
        <v>#REF!</v>
      </c>
      <c r="N49" s="15" t="e">
        <f>#REF!+ht!J49-ht!M49</f>
        <v>#REF!</v>
      </c>
      <c r="O49" s="15">
        <f t="shared" si="12"/>
        <v>0</v>
      </c>
      <c r="P49" s="15">
        <f t="shared" si="12"/>
        <v>28.89</v>
      </c>
      <c r="Q49" s="15">
        <f t="shared" si="12"/>
        <v>0</v>
      </c>
      <c r="R49" s="15" t="e">
        <f>#REF!+ht!Q49</f>
        <v>#REF!</v>
      </c>
      <c r="S49" s="15">
        <f t="shared" si="12"/>
        <v>0</v>
      </c>
      <c r="T49" s="15" t="e">
        <f>#REF!+ht!S49</f>
        <v>#REF!</v>
      </c>
      <c r="U49" s="15" t="e">
        <f>#REF!+ht!Q49-ht!S49</f>
        <v>#REF!</v>
      </c>
      <c r="V49" s="15" t="e">
        <f t="shared" si="12"/>
        <v>#REF!</v>
      </c>
      <c r="W49" s="17"/>
    </row>
    <row r="50" spans="1:23" s="16" customFormat="1" ht="24" customHeight="1" x14ac:dyDescent="0.25">
      <c r="A50" s="12"/>
      <c r="B50" s="13" t="s">
        <v>53</v>
      </c>
      <c r="C50" s="14">
        <v>43833.390666666666</v>
      </c>
      <c r="D50" s="15">
        <f>D49+D38+D24</f>
        <v>0</v>
      </c>
      <c r="E50" s="15" t="e">
        <f>#REF!+ht!D50</f>
        <v>#REF!</v>
      </c>
      <c r="F50" s="15">
        <f t="shared" ref="F50:V50" si="13">F49+F38+F24</f>
        <v>0</v>
      </c>
      <c r="G50" s="15" t="e">
        <f>#REF!+ht!F50</f>
        <v>#REF!</v>
      </c>
      <c r="H50" s="15" t="e">
        <f>#REF!+ht!D50-ht!F50</f>
        <v>#REF!</v>
      </c>
      <c r="I50" s="15">
        <f t="shared" si="13"/>
        <v>3747.752</v>
      </c>
      <c r="J50" s="15">
        <f t="shared" si="13"/>
        <v>0</v>
      </c>
      <c r="K50" s="15" t="e">
        <f>#REF!+ht!J50</f>
        <v>#REF!</v>
      </c>
      <c r="L50" s="15">
        <f t="shared" si="13"/>
        <v>0</v>
      </c>
      <c r="M50" s="15" t="e">
        <f>#REF!+ht!L50</f>
        <v>#REF!</v>
      </c>
      <c r="N50" s="15" t="e">
        <f>#REF!+ht!J50-ht!M50</f>
        <v>#REF!</v>
      </c>
      <c r="O50" s="15">
        <f t="shared" si="13"/>
        <v>0</v>
      </c>
      <c r="P50" s="15">
        <f t="shared" si="13"/>
        <v>170.09799999999996</v>
      </c>
      <c r="Q50" s="15">
        <f t="shared" si="13"/>
        <v>0</v>
      </c>
      <c r="R50" s="15" t="e">
        <f>#REF!+ht!Q50</f>
        <v>#REF!</v>
      </c>
      <c r="S50" s="15">
        <f t="shared" si="13"/>
        <v>0</v>
      </c>
      <c r="T50" s="15" t="e">
        <f>#REF!+ht!S50</f>
        <v>#REF!</v>
      </c>
      <c r="U50" s="15" t="e">
        <f>#REF!+ht!Q50-ht!S50</f>
        <v>#REF!</v>
      </c>
      <c r="V50" s="15" t="e">
        <f t="shared" si="13"/>
        <v>#REF!</v>
      </c>
      <c r="W50" s="17"/>
    </row>
    <row r="51" spans="1:23" s="27" customFormat="1" ht="24" hidden="1" customHeight="1" x14ac:dyDescent="0.25">
      <c r="C51" s="28"/>
      <c r="D51" s="60"/>
      <c r="E51" s="8" t="e">
        <f>#REF!+ht!D51</f>
        <v>#REF!</v>
      </c>
      <c r="F51" s="60"/>
      <c r="G51" s="8" t="e">
        <f>#REF!+ht!F51</f>
        <v>#REF!</v>
      </c>
      <c r="H51" s="8" t="e">
        <f>'[3]nov 18'!H51+#REF!-#REF!</f>
        <v>#REF!</v>
      </c>
      <c r="I51" s="60"/>
      <c r="J51" s="60"/>
      <c r="K51" s="8" t="e">
        <f>'[3]nov 18'!K51+#REF!</f>
        <v>#REF!</v>
      </c>
      <c r="L51" s="60"/>
      <c r="M51" s="8" t="e">
        <f>#REF!+ht!L51</f>
        <v>#REF!</v>
      </c>
      <c r="N51" s="8">
        <f>'[3]july 18'!N51+'[3]aug 18'!J51-'[3]aug 18'!L51</f>
        <v>4962.2130000000006</v>
      </c>
      <c r="O51" s="60"/>
      <c r="P51" s="60"/>
      <c r="Q51" s="60"/>
      <c r="R51" s="8" t="e">
        <f>#REF!+ht!Q51</f>
        <v>#REF!</v>
      </c>
      <c r="S51" s="60"/>
      <c r="T51" s="8" t="e">
        <f>#REF!+ht!S51</f>
        <v>#REF!</v>
      </c>
      <c r="U51" s="8" t="e">
        <f>#REF!+ht!Q51-ht!S51</f>
        <v>#REF!</v>
      </c>
      <c r="V51" s="8" t="e">
        <f t="shared" si="0"/>
        <v>#REF!</v>
      </c>
    </row>
    <row r="52" spans="1:23" s="29" customFormat="1" ht="24" hidden="1" customHeight="1" x14ac:dyDescent="0.25">
      <c r="C52" s="30"/>
      <c r="D52" s="31"/>
      <c r="E52" s="8" t="e">
        <f>#REF!+ht!D52</f>
        <v>#REF!</v>
      </c>
      <c r="F52" s="31"/>
      <c r="G52" s="8" t="e">
        <f>#REF!+ht!F52</f>
        <v>#REF!</v>
      </c>
      <c r="H52" s="8" t="e">
        <f>'[3]nov 18'!H52+#REF!-#REF!</f>
        <v>#REF!</v>
      </c>
      <c r="I52" s="31"/>
      <c r="J52" s="31"/>
      <c r="K52" s="8" t="e">
        <f>'[3]nov 18'!K52+#REF!</f>
        <v>#REF!</v>
      </c>
      <c r="L52" s="31"/>
      <c r="M52" s="8" t="e">
        <f>#REF!+ht!L52</f>
        <v>#REF!</v>
      </c>
      <c r="N52" s="8">
        <f>'[3]july 18'!N52+'[3]aug 18'!J52-'[3]aug 18'!L52</f>
        <v>0</v>
      </c>
      <c r="O52" s="31"/>
      <c r="P52" s="31"/>
      <c r="Q52" s="31"/>
      <c r="R52" s="8" t="e">
        <f>#REF!+ht!Q52</f>
        <v>#REF!</v>
      </c>
      <c r="S52" s="31"/>
      <c r="T52" s="8" t="e">
        <f>#REF!+ht!S52</f>
        <v>#REF!</v>
      </c>
      <c r="U52" s="8" t="e">
        <f>#REF!+ht!Q52-ht!S52</f>
        <v>#REF!</v>
      </c>
      <c r="V52" s="8" t="e">
        <f t="shared" si="0"/>
        <v>#REF!</v>
      </c>
    </row>
    <row r="53" spans="1:23" s="29" customFormat="1" ht="24" customHeight="1" x14ac:dyDescent="0.25">
      <c r="C53" s="30"/>
      <c r="D53" s="31"/>
      <c r="E53" s="52">
        <f>'[3]APRIL 18'!E48+'[3]may 18'!D49</f>
        <v>1157.347</v>
      </c>
      <c r="F53" s="31"/>
      <c r="G53" s="52"/>
      <c r="H53" s="52">
        <f>'[3]Mar 18'!H47+'[3]APRIL 18'!E48</f>
        <v>95318.428299999985</v>
      </c>
      <c r="I53" s="31"/>
      <c r="J53" s="31"/>
      <c r="K53" s="52">
        <f>'[3]APRIL 18'!K48+'[3]may 18'!J49</f>
        <v>30.321999999999999</v>
      </c>
      <c r="L53" s="31"/>
      <c r="M53" s="52"/>
      <c r="N53" s="52"/>
      <c r="O53" s="31"/>
      <c r="P53" s="31"/>
      <c r="Q53" s="31"/>
      <c r="R53" s="52">
        <f>'[3]APRIL 18'!R48+'[3]may 18'!Q49</f>
        <v>7.02</v>
      </c>
      <c r="S53" s="31"/>
      <c r="T53" s="52"/>
      <c r="U53" s="52"/>
      <c r="V53" s="52"/>
    </row>
    <row r="54" spans="1:23" s="27" customFormat="1" ht="15.75" customHeight="1" x14ac:dyDescent="0.25">
      <c r="B54" s="28"/>
      <c r="C54" s="228" t="s">
        <v>54</v>
      </c>
      <c r="D54" s="228"/>
      <c r="E54" s="228"/>
      <c r="F54" s="228"/>
      <c r="G54" s="228"/>
      <c r="H54" s="32"/>
      <c r="I54" s="28"/>
      <c r="J54" s="60">
        <f>D50+J50+Q50-F50-L50-S50</f>
        <v>0</v>
      </c>
      <c r="K54" s="28"/>
      <c r="L54" s="28"/>
      <c r="M54" s="28"/>
      <c r="N54" s="28"/>
      <c r="S54" s="28"/>
      <c r="V54" s="28"/>
    </row>
    <row r="55" spans="1:23" s="27" customFormat="1" ht="22.5" customHeight="1" x14ac:dyDescent="0.25">
      <c r="B55" s="28"/>
      <c r="C55" s="60"/>
      <c r="D55" s="228" t="s">
        <v>55</v>
      </c>
      <c r="E55" s="228"/>
      <c r="F55" s="228"/>
      <c r="G55" s="228"/>
      <c r="H55" s="33"/>
      <c r="I55" s="28"/>
      <c r="J55" s="60" t="e">
        <f>E50+K50+R50-G50-M50-T50</f>
        <v>#REF!</v>
      </c>
      <c r="K55" s="34"/>
      <c r="L55" s="28"/>
      <c r="M55" s="34"/>
      <c r="N55" s="28"/>
      <c r="S55" s="28"/>
      <c r="U55" s="28"/>
    </row>
    <row r="56" spans="1:23" ht="20.25" customHeight="1" x14ac:dyDescent="0.3">
      <c r="C56" s="35"/>
      <c r="D56" s="228" t="s">
        <v>56</v>
      </c>
      <c r="E56" s="228"/>
      <c r="F56" s="228"/>
      <c r="G56" s="228"/>
      <c r="H56" s="33"/>
      <c r="I56" s="36"/>
      <c r="J56" s="60" t="e">
        <f>H50+N50+U50</f>
        <v>#REF!</v>
      </c>
      <c r="K56" s="37"/>
      <c r="L56" s="37"/>
      <c r="M56" s="37"/>
      <c r="N56" s="37"/>
      <c r="Q56" s="27"/>
      <c r="R56" s="38"/>
      <c r="V56" s="38"/>
    </row>
    <row r="57" spans="1:23" ht="18" customHeight="1" x14ac:dyDescent="0.3">
      <c r="D57" s="4"/>
      <c r="E57" s="4"/>
      <c r="F57" s="4"/>
      <c r="G57" s="4"/>
      <c r="I57" s="41"/>
      <c r="J57" s="35"/>
      <c r="K57" s="37"/>
      <c r="L57" s="37"/>
      <c r="M57" s="37"/>
      <c r="N57" s="37"/>
      <c r="R57" s="3"/>
      <c r="S57" s="3"/>
      <c r="T57" s="4"/>
      <c r="U57" s="3"/>
      <c r="V57" s="3"/>
    </row>
    <row r="58" spans="1:23" ht="27" customHeight="1" x14ac:dyDescent="0.3">
      <c r="B58" s="214" t="s">
        <v>57</v>
      </c>
      <c r="C58" s="214"/>
      <c r="D58" s="214"/>
      <c r="E58" s="214"/>
      <c r="F58" s="214"/>
      <c r="G58" s="43"/>
      <c r="H58" s="43"/>
      <c r="I58" s="44"/>
      <c r="J58" s="230">
        <f>'[3]sep 18'!J56+'[3]oct 18'!J54</f>
        <v>104765.6583</v>
      </c>
      <c r="K58" s="231"/>
      <c r="L58" s="231"/>
      <c r="M58" s="45"/>
      <c r="N58" s="56" t="e">
        <f>'[3]nov 18'!J56+#REF!</f>
        <v>#REF!</v>
      </c>
      <c r="O58" s="43"/>
      <c r="P58" s="43"/>
      <c r="Q58" s="62"/>
      <c r="R58" s="214" t="s">
        <v>58</v>
      </c>
      <c r="S58" s="214"/>
      <c r="T58" s="214"/>
      <c r="U58" s="214"/>
      <c r="V58" s="214"/>
    </row>
    <row r="59" spans="1:23" ht="23.25" customHeight="1" x14ac:dyDescent="0.3">
      <c r="B59" s="214" t="s">
        <v>59</v>
      </c>
      <c r="C59" s="214"/>
      <c r="D59" s="214"/>
      <c r="E59" s="214"/>
      <c r="F59" s="214"/>
      <c r="G59" s="43"/>
      <c r="H59" s="45"/>
      <c r="I59" s="46"/>
      <c r="J59" s="47"/>
      <c r="K59" s="61"/>
      <c r="L59" s="47"/>
      <c r="M59" s="43"/>
      <c r="N59" s="43"/>
      <c r="O59" s="43"/>
      <c r="P59" s="43"/>
      <c r="Q59" s="62"/>
      <c r="R59" s="214" t="s">
        <v>59</v>
      </c>
      <c r="S59" s="214"/>
      <c r="T59" s="214"/>
      <c r="U59" s="214"/>
      <c r="V59" s="214"/>
    </row>
    <row r="60" spans="1:23" ht="25.5" customHeight="1" x14ac:dyDescent="0.3">
      <c r="F60" s="4"/>
      <c r="G60" s="42">
        <f>'[2]oct 2017'!J53+'[2]nov 17'!J51</f>
        <v>98581.184299999994</v>
      </c>
      <c r="J60" s="47"/>
      <c r="K60" s="61"/>
      <c r="L60" s="47"/>
      <c r="N60" s="49">
        <f>'[2]sep 17'!J53+'[2]oct 2017'!J51</f>
        <v>97903.751300000004</v>
      </c>
    </row>
    <row r="61" spans="1:23" ht="24" customHeight="1" x14ac:dyDescent="0.3">
      <c r="J61" s="229" t="s">
        <v>61</v>
      </c>
      <c r="K61" s="229"/>
      <c r="L61" s="229"/>
    </row>
    <row r="62" spans="1:23" ht="19.5" x14ac:dyDescent="0.3">
      <c r="G62" s="37"/>
      <c r="J62" s="229" t="s">
        <v>62</v>
      </c>
      <c r="K62" s="229"/>
      <c r="L62" s="229"/>
    </row>
    <row r="66" spans="8:22" x14ac:dyDescent="0.3">
      <c r="H66" s="50"/>
      <c r="I66" s="51"/>
      <c r="J66" s="50"/>
    </row>
    <row r="67" spans="8:22" x14ac:dyDescent="0.3">
      <c r="H67" s="50"/>
      <c r="I67" s="51"/>
      <c r="J67" s="50"/>
    </row>
    <row r="68" spans="8:22" x14ac:dyDescent="0.3">
      <c r="H68" s="42">
        <f>'[2]nov 17'!J53+'[2]dec 17'!J51</f>
        <v>98988.2883</v>
      </c>
      <c r="I68" s="51"/>
      <c r="J68" s="50"/>
    </row>
    <row r="69" spans="8:22" x14ac:dyDescent="0.3">
      <c r="H69" s="50"/>
      <c r="I69" s="51"/>
      <c r="J69" s="50"/>
    </row>
    <row r="70" spans="8:22" x14ac:dyDescent="0.3">
      <c r="H70" s="50"/>
      <c r="I70" s="51"/>
      <c r="J70" s="50"/>
    </row>
    <row r="71" spans="8:22" x14ac:dyDescent="0.3">
      <c r="I71" s="48">
        <f>261.37+72.57</f>
        <v>333.94</v>
      </c>
      <c r="Q71" s="3"/>
      <c r="R71" s="3"/>
      <c r="S71" s="3"/>
      <c r="T71" s="4"/>
      <c r="U71" s="3"/>
      <c r="V71" s="3"/>
    </row>
    <row r="72" spans="8:22" x14ac:dyDescent="0.3">
      <c r="I72" s="48">
        <f>78.17+53.54</f>
        <v>131.71</v>
      </c>
      <c r="Q72" s="3"/>
      <c r="R72" s="3"/>
      <c r="S72" s="3"/>
      <c r="T72" s="4"/>
      <c r="U72" s="3"/>
      <c r="V72" s="3"/>
    </row>
  </sheetData>
  <mergeCells count="29">
    <mergeCell ref="J62:L62"/>
    <mergeCell ref="B58:F58"/>
    <mergeCell ref="J58:L58"/>
    <mergeCell ref="R58:V58"/>
    <mergeCell ref="B59:F59"/>
    <mergeCell ref="R59:V59"/>
    <mergeCell ref="J61:L61"/>
    <mergeCell ref="D56:G56"/>
    <mergeCell ref="I5:I6"/>
    <mergeCell ref="J5:K5"/>
    <mergeCell ref="L5:M5"/>
    <mergeCell ref="N5:N6"/>
    <mergeCell ref="C54:G54"/>
    <mergeCell ref="D55:G55"/>
    <mergeCell ref="A1:V1"/>
    <mergeCell ref="A2:V3"/>
    <mergeCell ref="A4:A6"/>
    <mergeCell ref="B4:B6"/>
    <mergeCell ref="C4:H4"/>
    <mergeCell ref="I4:N4"/>
    <mergeCell ref="P4:U4"/>
    <mergeCell ref="C5:C6"/>
    <mergeCell ref="D5:E5"/>
    <mergeCell ref="F5:G5"/>
    <mergeCell ref="S5:T5"/>
    <mergeCell ref="U5:U6"/>
    <mergeCell ref="V5:V6"/>
    <mergeCell ref="P5:P6"/>
    <mergeCell ref="Q5:R5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9</vt:i4>
      </vt:variant>
    </vt:vector>
  </HeadingPairs>
  <TitlesOfParts>
    <vt:vector size="27" baseType="lpstr">
      <vt:lpstr>march 2020</vt:lpstr>
      <vt:lpstr>Sheet1</vt:lpstr>
      <vt:lpstr>braz</vt:lpstr>
      <vt:lpstr>brc</vt:lpstr>
      <vt:lpstr>kolar</vt:lpstr>
      <vt:lpstr>ramanagr</vt:lpstr>
      <vt:lpstr>CIRCLE</vt:lpstr>
      <vt:lpstr>DIFF</vt:lpstr>
      <vt:lpstr>ht</vt:lpstr>
      <vt:lpstr>Sheet9</vt:lpstr>
      <vt:lpstr>April-2023</vt:lpstr>
      <vt:lpstr>May-2023</vt:lpstr>
      <vt:lpstr>June-2023</vt:lpstr>
      <vt:lpstr>July-2023</vt:lpstr>
      <vt:lpstr>Aug-2023</vt:lpstr>
      <vt:lpstr>Sep-2023</vt:lpstr>
      <vt:lpstr>Oct-2023</vt:lpstr>
      <vt:lpstr>Nov-2023</vt:lpstr>
      <vt:lpstr>braz!Print_Area</vt:lpstr>
      <vt:lpstr>brc!Print_Area</vt:lpstr>
      <vt:lpstr>CIRCLE!Print_Area</vt:lpstr>
      <vt:lpstr>kolar!Print_Area</vt:lpstr>
      <vt:lpstr>'march 2020'!Print_Area</vt:lpstr>
      <vt:lpstr>'Nov-2023'!Print_Area</vt:lpstr>
      <vt:lpstr>'Oct-2023'!Print_Area</vt:lpstr>
      <vt:lpstr>ramanagr!Print_Area</vt:lpstr>
      <vt:lpstr>'Sep-2023'!Print_Area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2023-12-29T06:56:27Z</dcterms:modified>
</cp:coreProperties>
</file>