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annexure -2" sheetId="1" r:id="rId1"/>
    <sheet name="annexuxre -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2" l="1"/>
  <c r="C23" i="2"/>
  <c r="B23" i="2"/>
  <c r="F22" i="2"/>
  <c r="D22" i="2"/>
  <c r="G22" i="2" s="1"/>
  <c r="D21" i="2"/>
  <c r="G21" i="2" s="1"/>
  <c r="F20" i="2"/>
  <c r="D20" i="2"/>
  <c r="G20" i="2" s="1"/>
  <c r="F19" i="2"/>
  <c r="D19" i="2"/>
  <c r="G19" i="2" s="1"/>
  <c r="D18" i="2"/>
  <c r="G18" i="2" s="1"/>
  <c r="D17" i="2"/>
  <c r="G17" i="2" s="1"/>
  <c r="D16" i="2"/>
  <c r="C14" i="2"/>
  <c r="C24" i="2" s="1"/>
  <c r="B14" i="2"/>
  <c r="B24" i="2" s="1"/>
  <c r="D13" i="2"/>
  <c r="G13" i="2" s="1"/>
  <c r="D12" i="2"/>
  <c r="G12" i="2" s="1"/>
  <c r="D11" i="2"/>
  <c r="G11" i="2" s="1"/>
  <c r="D10" i="2"/>
  <c r="G10" i="2" s="1"/>
  <c r="F9" i="2"/>
  <c r="E9" i="2"/>
  <c r="E14" i="2" s="1"/>
  <c r="E24" i="2" s="1"/>
  <c r="D9" i="2"/>
  <c r="G8" i="2"/>
  <c r="D8" i="2"/>
  <c r="F7" i="2"/>
  <c r="F14" i="2" s="1"/>
  <c r="D7" i="2"/>
  <c r="D14" i="2" l="1"/>
  <c r="F23" i="2"/>
  <c r="F24" i="2" s="1"/>
  <c r="D23" i="2"/>
  <c r="D24" i="2" s="1"/>
  <c r="G7" i="2"/>
  <c r="G9" i="2"/>
  <c r="G16" i="2"/>
  <c r="G23" i="2" s="1"/>
  <c r="B38" i="1"/>
  <c r="G14" i="2" l="1"/>
  <c r="G24" i="2" s="1"/>
  <c r="G36" i="1" l="1"/>
  <c r="C38" i="1"/>
  <c r="D8" i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D17" i="1"/>
  <c r="D18" i="1"/>
  <c r="G18" i="1" s="1"/>
  <c r="D19" i="1"/>
  <c r="D20" i="1"/>
  <c r="D21" i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D30" i="1"/>
  <c r="D31" i="1"/>
  <c r="D32" i="1"/>
  <c r="G32" i="1" s="1"/>
  <c r="D33" i="1"/>
  <c r="D34" i="1"/>
  <c r="D35" i="1"/>
  <c r="D7" i="1"/>
  <c r="D37" i="1"/>
  <c r="G37" i="1" s="1"/>
  <c r="F35" i="1"/>
  <c r="E35" i="1"/>
  <c r="F34" i="1"/>
  <c r="E34" i="1"/>
  <c r="F33" i="1"/>
  <c r="E33" i="1"/>
  <c r="F31" i="1"/>
  <c r="E31" i="1"/>
  <c r="E30" i="1"/>
  <c r="E29" i="1"/>
  <c r="E21" i="1"/>
  <c r="E20" i="1"/>
  <c r="E19" i="1"/>
  <c r="E17" i="1"/>
  <c r="E16" i="1"/>
  <c r="E8" i="1"/>
  <c r="F38" i="1" l="1"/>
  <c r="E38" i="1"/>
  <c r="G35" i="1"/>
  <c r="G33" i="1"/>
  <c r="G31" i="1"/>
  <c r="G29" i="1"/>
  <c r="G17" i="1"/>
  <c r="G21" i="1"/>
  <c r="G19" i="1"/>
  <c r="D38" i="1"/>
  <c r="G34" i="1"/>
  <c r="G30" i="1"/>
  <c r="G20" i="1"/>
  <c r="G16" i="1"/>
  <c r="G8" i="1"/>
  <c r="G7" i="1" l="1"/>
  <c r="G38" i="1" s="1"/>
</calcChain>
</file>

<file path=xl/sharedStrings.xml><?xml version="1.0" encoding="utf-8"?>
<sst xmlns="http://schemas.openxmlformats.org/spreadsheetml/2006/main" count="161" uniqueCount="112">
  <si>
    <t>Secured Loans</t>
  </si>
  <si>
    <t>Loans from REC ( DTc metering)</t>
  </si>
  <si>
    <t>Loans from REC (NJY Phase-2 )</t>
  </si>
  <si>
    <t>Loans from REC (APDRP counter part funding)(53.3327)</t>
  </si>
  <si>
    <t>Loan from  Power Sector Automation</t>
  </si>
  <si>
    <t>Loan from REC APDRP (10 Towns)</t>
  </si>
  <si>
    <t>Loan from PFC-RAPDRP (PartA)</t>
  </si>
  <si>
    <t>Loan from PFC-RAPDRP (PartB)</t>
  </si>
  <si>
    <t>Loan from PFC-RAPDRP (PartB) (counter funding)</t>
  </si>
  <si>
    <t>PFC-DRUM</t>
  </si>
  <si>
    <t>REC-HVDS</t>
  </si>
  <si>
    <t>REC_UAIP</t>
  </si>
  <si>
    <t>REC-General Capex</t>
  </si>
  <si>
    <t>REC-Static meters</t>
  </si>
  <si>
    <t>REC-RGGVY-12th Plan</t>
  </si>
  <si>
    <t>REC-NJY phase-3</t>
  </si>
  <si>
    <t>REC_HVDS-Phase2</t>
  </si>
  <si>
    <t>REC UNIP</t>
  </si>
  <si>
    <t>REC DDUGJY</t>
  </si>
  <si>
    <t>REC IPDS</t>
  </si>
  <si>
    <t>Loan from GoK-PMGY</t>
  </si>
  <si>
    <t>Loan from  GoK-APDRP</t>
  </si>
  <si>
    <t>Loan from  GoK-Int free</t>
  </si>
  <si>
    <t>Loan from  GoK-RGGY</t>
  </si>
  <si>
    <t>loans from Commercial Bank-SBI</t>
  </si>
  <si>
    <t>Loan from Commercial Bank-BOI</t>
  </si>
  <si>
    <t>Loan from commercial bank-Canara</t>
  </si>
  <si>
    <t xml:space="preserve">Loan from commercial bank- Bank of Maharastra </t>
  </si>
  <si>
    <t>Loan from Commercial Bank-Bank of  Baroda</t>
  </si>
  <si>
    <t xml:space="preserve">Government Interest free loan: </t>
  </si>
  <si>
    <t>GOK interst free loan towards KPC dues</t>
  </si>
  <si>
    <t xml:space="preserve">Total Long term loan </t>
  </si>
  <si>
    <t>Short term loans</t>
  </si>
  <si>
    <t>Vijaya Bank</t>
  </si>
  <si>
    <t>Corporation Bank Erstwhile union Bank of india</t>
  </si>
  <si>
    <t>SBM</t>
  </si>
  <si>
    <t>Syndicate Bank</t>
  </si>
  <si>
    <t>Union Bank</t>
  </si>
  <si>
    <t>Bank of India</t>
  </si>
  <si>
    <t>Canara Bank</t>
  </si>
  <si>
    <t>REC</t>
  </si>
  <si>
    <t>Total short term loan</t>
  </si>
  <si>
    <t>BANK OVER Drafts</t>
  </si>
  <si>
    <t>Bank of Baroda</t>
  </si>
  <si>
    <t>Vijaya Banak</t>
  </si>
  <si>
    <t>State Bank of Mysore</t>
  </si>
  <si>
    <t>State Bank of India</t>
  </si>
  <si>
    <t>Over Draft Total</t>
  </si>
  <si>
    <t>Total short term loan(working Capital)</t>
  </si>
  <si>
    <t>FY-20</t>
  </si>
  <si>
    <t>Repayment of principal</t>
  </si>
  <si>
    <t>Interest for the year</t>
  </si>
  <si>
    <t>Closing Bal</t>
  </si>
  <si>
    <t>Rate of Interest</t>
  </si>
  <si>
    <t>13 years</t>
  </si>
  <si>
    <t>DTC metering</t>
  </si>
  <si>
    <t>NJY phase-2</t>
  </si>
  <si>
    <t>APDRP counter part funding</t>
  </si>
  <si>
    <t>20 years</t>
  </si>
  <si>
    <t>RAPDRP (PartB)</t>
  </si>
  <si>
    <t>17 years</t>
  </si>
  <si>
    <t>RAPDRP (PartB) (counter funding)</t>
  </si>
  <si>
    <t>HVDS</t>
  </si>
  <si>
    <t>UAIP</t>
  </si>
  <si>
    <t>General Capex</t>
  </si>
  <si>
    <t>Static meters</t>
  </si>
  <si>
    <t>RGGVY-12th Plan</t>
  </si>
  <si>
    <t>NJY phase-3</t>
  </si>
  <si>
    <t>HVDS-Phase2</t>
  </si>
  <si>
    <t>DDUGJY</t>
  </si>
  <si>
    <t>IPDS</t>
  </si>
  <si>
    <t>APDRP</t>
  </si>
  <si>
    <t>15 years</t>
  </si>
  <si>
    <t>RGGY</t>
  </si>
  <si>
    <t>13/10 years</t>
  </si>
  <si>
    <t>CAPEX</t>
  </si>
  <si>
    <t>10 years</t>
  </si>
  <si>
    <t>Tenure of the loan</t>
  </si>
  <si>
    <t>7 years</t>
  </si>
  <si>
    <t>DAS</t>
  </si>
  <si>
    <t>KPC dues</t>
  </si>
  <si>
    <t xml:space="preserve">3 months </t>
  </si>
  <si>
    <t>one year</t>
  </si>
  <si>
    <t>3 months / 24 months</t>
  </si>
  <si>
    <t>13 months</t>
  </si>
  <si>
    <t>2 years one month</t>
  </si>
  <si>
    <t>24 months</t>
  </si>
  <si>
    <t>12 months</t>
  </si>
  <si>
    <t>UNIP</t>
  </si>
  <si>
    <t>PMGY</t>
  </si>
  <si>
    <t>7.80% &amp; 7.85%</t>
  </si>
  <si>
    <t>9.25% &amp; 9.2%</t>
  </si>
  <si>
    <t>7.95%,8.60%, 8.35%</t>
  </si>
  <si>
    <t>8.55% &amp; 8.65%</t>
  </si>
  <si>
    <t>Loan from GoK-JICA</t>
  </si>
  <si>
    <t>SHORT TERM / OD DETAILS</t>
  </si>
  <si>
    <t xml:space="preserve">Working capital </t>
  </si>
  <si>
    <t>CAPITAL LOAN DETAILS</t>
  </si>
  <si>
    <t>Amount in Crs</t>
  </si>
  <si>
    <t>8.85% &amp; 9%</t>
  </si>
  <si>
    <t>8.25% &amp; 8.65%</t>
  </si>
  <si>
    <t>Bank/Financial Institution</t>
  </si>
  <si>
    <t>Opening Balance as on 01.04.2019</t>
  </si>
  <si>
    <t>New loan amount borrowed</t>
  </si>
  <si>
    <t>Total loan at the end of the year (Tenure amount)</t>
  </si>
  <si>
    <t>Closing Bal as on 31.03.2020</t>
  </si>
  <si>
    <t>Scheme/ works/ purpose of availing loans</t>
  </si>
  <si>
    <t>11 years/ 8.5 years</t>
  </si>
  <si>
    <t xml:space="preserve">8.4%, 8.5%, 8.6%, 8.7%, 9% </t>
  </si>
  <si>
    <t>Annexure 2</t>
  </si>
  <si>
    <t>Annexure-3</t>
  </si>
  <si>
    <t>Scheme/ Works/ Purpose of availing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</si>
</sst>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0"/>
      <color theme="1"/>
      <name val="Bookman Old Style"/>
      <family val="1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right"/>
    </xf>
    <xf numFmtId="2" fontId="4" fillId="2" borderId="0" xfId="1" applyNumberFormat="1" applyFont="1" applyFill="1" applyBorder="1" applyAlignment="1">
      <alignment horizontal="righ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right" vertical="top"/>
    </xf>
    <xf numFmtId="2" fontId="2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indent="1"/>
    </xf>
    <xf numFmtId="0" fontId="4" fillId="2" borderId="0" xfId="1" applyFont="1" applyFill="1" applyBorder="1"/>
    <xf numFmtId="2" fontId="7" fillId="2" borderId="0" xfId="0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" fillId="2" borderId="0" xfId="0" applyFont="1" applyFill="1" applyBorder="1" applyAlignment="1">
      <alignment horizontal="left" vertical="top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Border="1"/>
    <xf numFmtId="2" fontId="6" fillId="2" borderId="0" xfId="0" applyNumberFormat="1" applyFont="1" applyFill="1"/>
    <xf numFmtId="2" fontId="6" fillId="2" borderId="0" xfId="0" applyNumberFormat="1" applyFont="1" applyFill="1" applyBorder="1"/>
    <xf numFmtId="0" fontId="10" fillId="2" borderId="0" xfId="0" applyFont="1" applyFill="1"/>
    <xf numFmtId="0" fontId="10" fillId="2" borderId="0" xfId="0" applyFont="1" applyFill="1" applyAlignment="1"/>
    <xf numFmtId="0" fontId="9" fillId="2" borderId="1" xfId="0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0" fontId="10" fillId="2" borderId="1" xfId="1" applyNumberFormat="1" applyFont="1" applyFill="1" applyBorder="1" applyAlignment="1">
      <alignment horizontal="right" vertical="center" wrapText="1"/>
    </xf>
    <xf numFmtId="9" fontId="10" fillId="2" borderId="1" xfId="1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9" fillId="0" borderId="0" xfId="0" applyFont="1"/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 vertical="top" wrapText="1"/>
    </xf>
    <xf numFmtId="2" fontId="9" fillId="2" borderId="1" xfId="0" applyNumberFormat="1" applyFont="1" applyFill="1" applyBorder="1" applyAlignment="1">
      <alignment horizontal="right" vertical="top" wrapText="1"/>
    </xf>
    <xf numFmtId="9" fontId="10" fillId="2" borderId="1" xfId="1" applyNumberFormat="1" applyFont="1" applyFill="1" applyBorder="1" applyAlignment="1">
      <alignment horizontal="right" wrapText="1"/>
    </xf>
    <xf numFmtId="10" fontId="10" fillId="2" borderId="1" xfId="0" applyNumberFormat="1" applyFont="1" applyFill="1" applyBorder="1" applyAlignment="1">
      <alignment horizontal="right" wrapText="1"/>
    </xf>
    <xf numFmtId="10" fontId="10" fillId="2" borderId="1" xfId="1" applyNumberFormat="1" applyFont="1" applyFill="1" applyBorder="1" applyAlignment="1">
      <alignment horizontal="right" wrapText="1"/>
    </xf>
    <xf numFmtId="2" fontId="10" fillId="2" borderId="1" xfId="1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center"/>
    </xf>
  </cellXfs>
  <cellStyles count="2">
    <cellStyle name="Normal" xfId="0" builtinId="0"/>
    <cellStyle name="Normal_Financial det.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6" workbookViewId="0">
      <selection sqref="A1:J38"/>
    </sheetView>
  </sheetViews>
  <sheetFormatPr defaultRowHeight="15.75" customHeight="1" x14ac:dyDescent="0.25"/>
  <cols>
    <col min="1" max="1" width="43" style="21" customWidth="1"/>
    <col min="2" max="2" width="18.7109375" style="21" customWidth="1"/>
    <col min="3" max="3" width="12.140625" style="21" customWidth="1"/>
    <col min="4" max="4" width="16.42578125" style="21" customWidth="1"/>
    <col min="5" max="5" width="13.140625" style="21" customWidth="1"/>
    <col min="6" max="6" width="16.42578125" style="21" customWidth="1"/>
    <col min="7" max="8" width="13.85546875" style="21" customWidth="1"/>
    <col min="9" max="9" width="17.28515625" style="22" customWidth="1"/>
    <col min="10" max="10" width="19.5703125" style="21" customWidth="1"/>
    <col min="11" max="11" width="9.140625" style="23"/>
    <col min="12" max="16384" width="9.140625" style="21"/>
  </cols>
  <sheetData>
    <row r="1" spans="1:11" ht="15.75" customHeight="1" x14ac:dyDescent="0.25">
      <c r="I1" s="51" t="s">
        <v>109</v>
      </c>
      <c r="J1" s="51"/>
    </row>
    <row r="2" spans="1:11" ht="15.75" customHeight="1" x14ac:dyDescent="0.25">
      <c r="A2" s="34" t="s">
        <v>97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15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6" t="s">
        <v>98</v>
      </c>
    </row>
    <row r="4" spans="1:11" ht="15.75" customHeight="1" x14ac:dyDescent="0.25">
      <c r="A4" s="37" t="s">
        <v>101</v>
      </c>
      <c r="B4" s="45" t="s">
        <v>49</v>
      </c>
      <c r="C4" s="45"/>
      <c r="D4" s="45"/>
      <c r="E4" s="45"/>
      <c r="F4" s="45"/>
      <c r="G4" s="45"/>
      <c r="H4" s="45"/>
      <c r="I4" s="45"/>
      <c r="J4" s="45"/>
    </row>
    <row r="5" spans="1:11" ht="51" x14ac:dyDescent="0.25">
      <c r="A5" s="37"/>
      <c r="B5" s="44" t="s">
        <v>102</v>
      </c>
      <c r="C5" s="44" t="s">
        <v>103</v>
      </c>
      <c r="D5" s="44" t="s">
        <v>104</v>
      </c>
      <c r="E5" s="44" t="s">
        <v>50</v>
      </c>
      <c r="F5" s="44" t="s">
        <v>51</v>
      </c>
      <c r="G5" s="44" t="s">
        <v>105</v>
      </c>
      <c r="H5" s="44" t="s">
        <v>77</v>
      </c>
      <c r="I5" s="44" t="s">
        <v>53</v>
      </c>
      <c r="J5" s="44" t="s">
        <v>106</v>
      </c>
      <c r="K5" s="1"/>
    </row>
    <row r="6" spans="1:11" ht="15.75" customHeight="1" x14ac:dyDescent="0.25">
      <c r="A6" s="39" t="s">
        <v>0</v>
      </c>
      <c r="B6" s="41"/>
      <c r="C6" s="41"/>
      <c r="D6" s="41"/>
      <c r="E6" s="41"/>
      <c r="F6" s="41"/>
      <c r="G6" s="41"/>
      <c r="H6" s="41"/>
      <c r="I6" s="41"/>
      <c r="J6" s="41"/>
    </row>
    <row r="7" spans="1:11" ht="15.75" customHeight="1" x14ac:dyDescent="0.25">
      <c r="A7" s="41" t="s">
        <v>1</v>
      </c>
      <c r="B7" s="46">
        <v>107.72999999999999</v>
      </c>
      <c r="C7" s="46"/>
      <c r="D7" s="47">
        <f>B7+C7</f>
        <v>107.72999999999999</v>
      </c>
      <c r="E7" s="46">
        <v>15.39</v>
      </c>
      <c r="F7" s="46">
        <v>13.43</v>
      </c>
      <c r="G7" s="47">
        <f>D7-E7</f>
        <v>92.339999999999989</v>
      </c>
      <c r="H7" s="42" t="s">
        <v>54</v>
      </c>
      <c r="I7" s="48">
        <v>0.11</v>
      </c>
      <c r="J7" s="40" t="s">
        <v>55</v>
      </c>
    </row>
    <row r="8" spans="1:11" ht="15.75" customHeight="1" x14ac:dyDescent="0.25">
      <c r="A8" s="41" t="s">
        <v>2</v>
      </c>
      <c r="B8" s="46">
        <v>179.31</v>
      </c>
      <c r="C8" s="46">
        <v>24.22</v>
      </c>
      <c r="D8" s="47">
        <f t="shared" ref="D8:D35" si="0">B8+C8</f>
        <v>203.53</v>
      </c>
      <c r="E8" s="46">
        <f>203.53-171.86</f>
        <v>31.669999999999987</v>
      </c>
      <c r="F8" s="46">
        <v>22.41</v>
      </c>
      <c r="G8" s="47">
        <f t="shared" ref="G8:G36" si="1">D8-E8</f>
        <v>171.86</v>
      </c>
      <c r="H8" s="42" t="s">
        <v>54</v>
      </c>
      <c r="I8" s="48">
        <v>0.11</v>
      </c>
      <c r="J8" s="40" t="s">
        <v>56</v>
      </c>
    </row>
    <row r="9" spans="1:11" ht="30.75" customHeight="1" x14ac:dyDescent="0.25">
      <c r="A9" s="41" t="s">
        <v>3</v>
      </c>
      <c r="B9" s="46">
        <v>0.17000000000000015</v>
      </c>
      <c r="C9" s="46"/>
      <c r="D9" s="47">
        <f t="shared" si="0"/>
        <v>0.17000000000000015</v>
      </c>
      <c r="E9" s="46">
        <v>0.17</v>
      </c>
      <c r="F9" s="46">
        <v>7.0000000000000007E-2</v>
      </c>
      <c r="G9" s="47">
        <f t="shared" si="1"/>
        <v>0</v>
      </c>
      <c r="H9" s="42"/>
      <c r="I9" s="42"/>
      <c r="J9" s="40" t="s">
        <v>57</v>
      </c>
    </row>
    <row r="10" spans="1:11" ht="15.75" customHeight="1" x14ac:dyDescent="0.25">
      <c r="A10" s="41" t="s">
        <v>4</v>
      </c>
      <c r="B10" s="46">
        <v>0</v>
      </c>
      <c r="C10" s="46"/>
      <c r="D10" s="47">
        <f t="shared" si="0"/>
        <v>0</v>
      </c>
      <c r="E10" s="46">
        <v>0</v>
      </c>
      <c r="F10" s="46"/>
      <c r="G10" s="47">
        <f t="shared" si="1"/>
        <v>0</v>
      </c>
      <c r="H10" s="42"/>
      <c r="I10" s="42"/>
      <c r="J10" s="40"/>
    </row>
    <row r="11" spans="1:11" ht="15.75" customHeight="1" x14ac:dyDescent="0.25">
      <c r="A11" s="41" t="s">
        <v>5</v>
      </c>
      <c r="B11" s="46">
        <v>0</v>
      </c>
      <c r="C11" s="46"/>
      <c r="D11" s="47">
        <f t="shared" si="0"/>
        <v>0</v>
      </c>
      <c r="E11" s="46">
        <v>0</v>
      </c>
      <c r="F11" s="46"/>
      <c r="G11" s="47">
        <f t="shared" si="1"/>
        <v>0</v>
      </c>
      <c r="H11" s="42"/>
      <c r="I11" s="42"/>
      <c r="J11" s="40"/>
    </row>
    <row r="12" spans="1:11" ht="15.75" customHeight="1" x14ac:dyDescent="0.25">
      <c r="A12" s="41" t="s">
        <v>6</v>
      </c>
      <c r="B12" s="46">
        <v>0</v>
      </c>
      <c r="C12" s="46"/>
      <c r="D12" s="47">
        <f t="shared" si="0"/>
        <v>0</v>
      </c>
      <c r="E12" s="46"/>
      <c r="F12" s="46"/>
      <c r="G12" s="47">
        <f t="shared" si="1"/>
        <v>0</v>
      </c>
      <c r="H12" s="42"/>
      <c r="I12" s="42"/>
      <c r="J12" s="40"/>
    </row>
    <row r="13" spans="1:11" ht="15.75" customHeight="1" x14ac:dyDescent="0.25">
      <c r="A13" s="41" t="s">
        <v>7</v>
      </c>
      <c r="B13" s="46">
        <v>58.73</v>
      </c>
      <c r="C13" s="46"/>
      <c r="D13" s="47">
        <f t="shared" si="0"/>
        <v>58.73</v>
      </c>
      <c r="E13" s="46">
        <v>0</v>
      </c>
      <c r="F13" s="46">
        <v>0</v>
      </c>
      <c r="G13" s="47">
        <f t="shared" si="1"/>
        <v>58.73</v>
      </c>
      <c r="H13" s="42" t="s">
        <v>58</v>
      </c>
      <c r="I13" s="49">
        <v>0.09</v>
      </c>
      <c r="J13" s="40" t="s">
        <v>59</v>
      </c>
    </row>
    <row r="14" spans="1:11" ht="30" x14ac:dyDescent="0.25">
      <c r="A14" s="41" t="s">
        <v>8</v>
      </c>
      <c r="B14" s="46">
        <v>125.83</v>
      </c>
      <c r="C14" s="46"/>
      <c r="D14" s="47">
        <f t="shared" si="0"/>
        <v>125.83</v>
      </c>
      <c r="E14" s="46">
        <v>11.99</v>
      </c>
      <c r="F14" s="46">
        <v>13.6</v>
      </c>
      <c r="G14" s="47">
        <f t="shared" si="1"/>
        <v>113.84</v>
      </c>
      <c r="H14" s="42" t="s">
        <v>60</v>
      </c>
      <c r="I14" s="48">
        <v>0.105</v>
      </c>
      <c r="J14" s="40" t="s">
        <v>61</v>
      </c>
    </row>
    <row r="15" spans="1:11" ht="15.75" customHeight="1" x14ac:dyDescent="0.25">
      <c r="A15" s="41" t="s">
        <v>9</v>
      </c>
      <c r="B15" s="46">
        <v>0</v>
      </c>
      <c r="C15" s="46"/>
      <c r="D15" s="47">
        <f t="shared" si="0"/>
        <v>0</v>
      </c>
      <c r="E15" s="46"/>
      <c r="F15" s="46"/>
      <c r="G15" s="47">
        <f t="shared" si="1"/>
        <v>0</v>
      </c>
      <c r="H15" s="42"/>
      <c r="I15" s="42"/>
      <c r="J15" s="40"/>
    </row>
    <row r="16" spans="1:11" ht="15.75" customHeight="1" x14ac:dyDescent="0.25">
      <c r="A16" s="41" t="s">
        <v>10</v>
      </c>
      <c r="B16" s="46">
        <v>169.34999999999997</v>
      </c>
      <c r="C16" s="46">
        <v>13.21</v>
      </c>
      <c r="D16" s="47">
        <f t="shared" si="0"/>
        <v>182.55999999999997</v>
      </c>
      <c r="E16" s="46">
        <f>182.56-159.75</f>
        <v>22.810000000000002</v>
      </c>
      <c r="F16" s="46">
        <v>18.55</v>
      </c>
      <c r="G16" s="47">
        <f t="shared" si="1"/>
        <v>159.74999999999997</v>
      </c>
      <c r="H16" s="42" t="s">
        <v>54</v>
      </c>
      <c r="I16" s="48">
        <v>0.11</v>
      </c>
      <c r="J16" s="40" t="s">
        <v>62</v>
      </c>
    </row>
    <row r="17" spans="1:10" ht="15.75" customHeight="1" x14ac:dyDescent="0.25">
      <c r="A17" s="41" t="s">
        <v>11</v>
      </c>
      <c r="B17" s="46">
        <v>190.43</v>
      </c>
      <c r="C17" s="46">
        <v>11.8</v>
      </c>
      <c r="D17" s="47">
        <f t="shared" si="0"/>
        <v>202.23000000000002</v>
      </c>
      <c r="E17" s="46">
        <f>202.23-176.95</f>
        <v>25.28</v>
      </c>
      <c r="F17" s="46">
        <v>21.62</v>
      </c>
      <c r="G17" s="47">
        <f t="shared" si="1"/>
        <v>176.95000000000002</v>
      </c>
      <c r="H17" s="42" t="s">
        <v>54</v>
      </c>
      <c r="I17" s="48">
        <v>0.11</v>
      </c>
      <c r="J17" s="40" t="s">
        <v>63</v>
      </c>
    </row>
    <row r="18" spans="1:10" ht="15.75" customHeight="1" x14ac:dyDescent="0.25">
      <c r="A18" s="41" t="s">
        <v>12</v>
      </c>
      <c r="B18" s="46">
        <v>259.11</v>
      </c>
      <c r="C18" s="46"/>
      <c r="D18" s="47">
        <f t="shared" si="0"/>
        <v>259.11</v>
      </c>
      <c r="E18" s="46">
        <v>32.380000000000003</v>
      </c>
      <c r="F18" s="46">
        <v>28.91</v>
      </c>
      <c r="G18" s="47">
        <f t="shared" si="1"/>
        <v>226.73000000000002</v>
      </c>
      <c r="H18" s="42" t="s">
        <v>54</v>
      </c>
      <c r="I18" s="48">
        <v>0.11</v>
      </c>
      <c r="J18" s="40" t="s">
        <v>64</v>
      </c>
    </row>
    <row r="19" spans="1:10" ht="15.75" customHeight="1" x14ac:dyDescent="0.25">
      <c r="A19" s="41" t="s">
        <v>13</v>
      </c>
      <c r="B19" s="46">
        <v>95.240000000000009</v>
      </c>
      <c r="C19" s="46"/>
      <c r="D19" s="47">
        <f t="shared" si="0"/>
        <v>95.240000000000009</v>
      </c>
      <c r="E19" s="46">
        <f>95.24-84.66</f>
        <v>10.579999999999998</v>
      </c>
      <c r="F19" s="46">
        <v>11.22</v>
      </c>
      <c r="G19" s="47">
        <f t="shared" si="1"/>
        <v>84.660000000000011</v>
      </c>
      <c r="H19" s="42" t="s">
        <v>54</v>
      </c>
      <c r="I19" s="48">
        <v>0.11</v>
      </c>
      <c r="J19" s="40" t="s">
        <v>65</v>
      </c>
    </row>
    <row r="20" spans="1:10" ht="15.75" customHeight="1" x14ac:dyDescent="0.25">
      <c r="A20" s="41" t="s">
        <v>14</v>
      </c>
      <c r="B20" s="46">
        <v>1.1355926999999999</v>
      </c>
      <c r="C20" s="46">
        <v>1.98</v>
      </c>
      <c r="D20" s="47">
        <f t="shared" si="0"/>
        <v>3.1155926999999997</v>
      </c>
      <c r="E20" s="46">
        <f>1.14-0.93</f>
        <v>0.20999999999999985</v>
      </c>
      <c r="F20" s="46">
        <v>0.31</v>
      </c>
      <c r="G20" s="47">
        <f t="shared" si="1"/>
        <v>2.9055926999999997</v>
      </c>
      <c r="H20" s="42" t="s">
        <v>58</v>
      </c>
      <c r="I20" s="48">
        <v>0.10249999999999999</v>
      </c>
      <c r="J20" s="40" t="s">
        <v>66</v>
      </c>
    </row>
    <row r="21" spans="1:10" ht="15.75" customHeight="1" x14ac:dyDescent="0.25">
      <c r="A21" s="41" t="s">
        <v>15</v>
      </c>
      <c r="B21" s="46">
        <v>640.34994140000003</v>
      </c>
      <c r="C21" s="46">
        <v>6.49</v>
      </c>
      <c r="D21" s="47">
        <f t="shared" si="0"/>
        <v>646.83994140000004</v>
      </c>
      <c r="E21" s="46">
        <f>646.84-646.18</f>
        <v>0.66000000000008185</v>
      </c>
      <c r="F21" s="46">
        <v>72.680000000000007</v>
      </c>
      <c r="G21" s="47">
        <f t="shared" si="1"/>
        <v>646.17994139999996</v>
      </c>
      <c r="H21" s="42" t="s">
        <v>54</v>
      </c>
      <c r="I21" s="48">
        <v>0.10249999999999999</v>
      </c>
      <c r="J21" s="40" t="s">
        <v>67</v>
      </c>
    </row>
    <row r="22" spans="1:10" ht="15.75" customHeight="1" x14ac:dyDescent="0.25">
      <c r="A22" s="41" t="s">
        <v>16</v>
      </c>
      <c r="B22" s="46">
        <v>151.3880983</v>
      </c>
      <c r="C22" s="46"/>
      <c r="D22" s="47">
        <f t="shared" si="0"/>
        <v>151.3880983</v>
      </c>
      <c r="E22" s="46"/>
      <c r="F22" s="46">
        <v>16.260000000000002</v>
      </c>
      <c r="G22" s="47">
        <f t="shared" si="1"/>
        <v>151.3880983</v>
      </c>
      <c r="H22" s="42" t="s">
        <v>54</v>
      </c>
      <c r="I22" s="48">
        <v>0.10100000000000001</v>
      </c>
      <c r="J22" s="40" t="s">
        <v>68</v>
      </c>
    </row>
    <row r="23" spans="1:10" ht="15.75" customHeight="1" x14ac:dyDescent="0.25">
      <c r="A23" s="41" t="s">
        <v>17</v>
      </c>
      <c r="B23" s="46">
        <v>299.45999999999998</v>
      </c>
      <c r="C23" s="46">
        <v>447.58</v>
      </c>
      <c r="D23" s="47">
        <f t="shared" si="0"/>
        <v>747.04</v>
      </c>
      <c r="E23" s="46"/>
      <c r="F23" s="46">
        <v>60</v>
      </c>
      <c r="G23" s="47">
        <f t="shared" si="1"/>
        <v>747.04</v>
      </c>
      <c r="H23" s="42" t="s">
        <v>54</v>
      </c>
      <c r="I23" s="48">
        <v>0.1115</v>
      </c>
      <c r="J23" s="40" t="s">
        <v>88</v>
      </c>
    </row>
    <row r="24" spans="1:10" ht="15.75" customHeight="1" x14ac:dyDescent="0.25">
      <c r="A24" s="41" t="s">
        <v>18</v>
      </c>
      <c r="B24" s="46">
        <v>38.44</v>
      </c>
      <c r="C24" s="46">
        <v>32.159999999999997</v>
      </c>
      <c r="D24" s="47">
        <f t="shared" si="0"/>
        <v>70.599999999999994</v>
      </c>
      <c r="E24" s="46"/>
      <c r="F24" s="46">
        <v>5.78</v>
      </c>
      <c r="G24" s="47">
        <f t="shared" si="1"/>
        <v>70.599999999999994</v>
      </c>
      <c r="H24" s="42" t="s">
        <v>54</v>
      </c>
      <c r="I24" s="48">
        <v>0.101684</v>
      </c>
      <c r="J24" s="40" t="s">
        <v>69</v>
      </c>
    </row>
    <row r="25" spans="1:10" ht="15.75" customHeight="1" x14ac:dyDescent="0.25">
      <c r="A25" s="41" t="s">
        <v>19</v>
      </c>
      <c r="B25" s="46">
        <v>36.770000000000003</v>
      </c>
      <c r="C25" s="46">
        <v>100.63</v>
      </c>
      <c r="D25" s="47">
        <f t="shared" si="0"/>
        <v>137.4</v>
      </c>
      <c r="E25" s="46"/>
      <c r="F25" s="46">
        <v>9.11</v>
      </c>
      <c r="G25" s="47">
        <f t="shared" si="1"/>
        <v>137.4</v>
      </c>
      <c r="H25" s="42" t="s">
        <v>54</v>
      </c>
      <c r="I25" s="48">
        <v>0.101146</v>
      </c>
      <c r="J25" s="40" t="s">
        <v>70</v>
      </c>
    </row>
    <row r="26" spans="1:10" ht="15.75" customHeight="1" x14ac:dyDescent="0.25">
      <c r="A26" s="41" t="s">
        <v>20</v>
      </c>
      <c r="B26" s="46">
        <v>0.22000000000000008</v>
      </c>
      <c r="C26" s="46"/>
      <c r="D26" s="47">
        <f t="shared" si="0"/>
        <v>0.22000000000000008</v>
      </c>
      <c r="E26" s="46">
        <v>0.12</v>
      </c>
      <c r="F26" s="46">
        <v>0.04</v>
      </c>
      <c r="G26" s="47">
        <f t="shared" si="1"/>
        <v>0.10000000000000009</v>
      </c>
      <c r="H26" s="42" t="s">
        <v>58</v>
      </c>
      <c r="I26" s="48">
        <v>0.12</v>
      </c>
      <c r="J26" s="40" t="s">
        <v>89</v>
      </c>
    </row>
    <row r="27" spans="1:10" ht="15.75" customHeight="1" x14ac:dyDescent="0.25">
      <c r="A27" s="41" t="s">
        <v>21</v>
      </c>
      <c r="B27" s="46">
        <v>12.51</v>
      </c>
      <c r="C27" s="46"/>
      <c r="D27" s="47">
        <f t="shared" si="0"/>
        <v>12.51</v>
      </c>
      <c r="E27" s="46">
        <v>4.17</v>
      </c>
      <c r="F27" s="46">
        <v>1.81</v>
      </c>
      <c r="G27" s="47">
        <f t="shared" si="1"/>
        <v>8.34</v>
      </c>
      <c r="H27" s="42" t="s">
        <v>58</v>
      </c>
      <c r="I27" s="48">
        <v>0.12</v>
      </c>
      <c r="J27" s="40" t="s">
        <v>71</v>
      </c>
    </row>
    <row r="28" spans="1:10" ht="15.75" customHeight="1" x14ac:dyDescent="0.25">
      <c r="A28" s="41" t="s">
        <v>22</v>
      </c>
      <c r="B28" s="46">
        <v>0.94</v>
      </c>
      <c r="C28" s="46"/>
      <c r="D28" s="47">
        <f t="shared" si="0"/>
        <v>0.94</v>
      </c>
      <c r="E28" s="46"/>
      <c r="F28" s="46"/>
      <c r="G28" s="47">
        <f t="shared" si="1"/>
        <v>0.94</v>
      </c>
      <c r="H28" s="42"/>
      <c r="I28" s="42"/>
      <c r="J28" s="40"/>
    </row>
    <row r="29" spans="1:10" ht="15.75" customHeight="1" x14ac:dyDescent="0.25">
      <c r="A29" s="41" t="s">
        <v>23</v>
      </c>
      <c r="B29" s="46">
        <v>4.9000000000000004</v>
      </c>
      <c r="C29" s="46"/>
      <c r="D29" s="47">
        <f t="shared" si="0"/>
        <v>4.9000000000000004</v>
      </c>
      <c r="E29" s="46">
        <f>4.9-0.94</f>
        <v>3.9600000000000004</v>
      </c>
      <c r="F29" s="46">
        <v>0.41</v>
      </c>
      <c r="G29" s="47">
        <f t="shared" si="1"/>
        <v>0.94</v>
      </c>
      <c r="H29" s="42" t="s">
        <v>72</v>
      </c>
      <c r="I29" s="48">
        <v>0.1075</v>
      </c>
      <c r="J29" s="40" t="s">
        <v>73</v>
      </c>
    </row>
    <row r="30" spans="1:10" ht="15.75" customHeight="1" x14ac:dyDescent="0.25">
      <c r="A30" s="41" t="s">
        <v>94</v>
      </c>
      <c r="B30" s="46">
        <v>403.29</v>
      </c>
      <c r="C30" s="46"/>
      <c r="D30" s="47">
        <f t="shared" si="0"/>
        <v>403.29</v>
      </c>
      <c r="E30" s="46">
        <f>130+44</f>
        <v>174</v>
      </c>
      <c r="F30" s="46">
        <v>12.51</v>
      </c>
      <c r="G30" s="47">
        <f t="shared" si="1"/>
        <v>229.29000000000002</v>
      </c>
      <c r="H30" s="42" t="s">
        <v>58</v>
      </c>
      <c r="I30" s="48">
        <v>8.5000000000000006E-3</v>
      </c>
      <c r="J30" s="40" t="s">
        <v>79</v>
      </c>
    </row>
    <row r="31" spans="1:10" ht="15.75" customHeight="1" x14ac:dyDescent="0.25">
      <c r="A31" s="41" t="s">
        <v>24</v>
      </c>
      <c r="B31" s="46">
        <v>528.39999999999986</v>
      </c>
      <c r="C31" s="46">
        <v>87.78</v>
      </c>
      <c r="D31" s="47">
        <f t="shared" si="0"/>
        <v>616.17999999999984</v>
      </c>
      <c r="E31" s="46">
        <f>10+25+56.25-2.5-6.25-14.0625+0.04</f>
        <v>68.477500000000006</v>
      </c>
      <c r="F31" s="46">
        <f>43.2+7.47+3.74</f>
        <v>54.410000000000004</v>
      </c>
      <c r="G31" s="47">
        <f t="shared" si="1"/>
        <v>547.70249999999987</v>
      </c>
      <c r="H31" s="42" t="s">
        <v>74</v>
      </c>
      <c r="I31" s="48" t="s">
        <v>93</v>
      </c>
      <c r="J31" s="40" t="s">
        <v>75</v>
      </c>
    </row>
    <row r="32" spans="1:10" ht="15.75" customHeight="1" x14ac:dyDescent="0.25">
      <c r="A32" s="41" t="s">
        <v>25</v>
      </c>
      <c r="B32" s="46">
        <v>0</v>
      </c>
      <c r="C32" s="46"/>
      <c r="D32" s="47">
        <f t="shared" si="0"/>
        <v>0</v>
      </c>
      <c r="E32" s="46"/>
      <c r="F32" s="46">
        <v>1.58</v>
      </c>
      <c r="G32" s="47">
        <f t="shared" si="1"/>
        <v>0</v>
      </c>
      <c r="H32" s="42"/>
      <c r="I32" s="48"/>
      <c r="J32" s="40"/>
    </row>
    <row r="33" spans="1:10" ht="30" x14ac:dyDescent="0.25">
      <c r="A33" s="41" t="s">
        <v>26</v>
      </c>
      <c r="B33" s="46">
        <v>899.67</v>
      </c>
      <c r="C33" s="46">
        <v>184.76</v>
      </c>
      <c r="D33" s="47">
        <f t="shared" si="0"/>
        <v>1084.4299999999998</v>
      </c>
      <c r="E33" s="46">
        <f>20+20+37+13.68+30+13.8+0.34</f>
        <v>134.82000000000002</v>
      </c>
      <c r="F33" s="46">
        <f>36.36+11.68+23.47+18.42+0.21</f>
        <v>90.139999999999986</v>
      </c>
      <c r="G33" s="47">
        <f t="shared" si="1"/>
        <v>949.60999999999979</v>
      </c>
      <c r="H33" s="42" t="s">
        <v>76</v>
      </c>
      <c r="I33" s="48" t="s">
        <v>108</v>
      </c>
      <c r="J33" s="40" t="s">
        <v>75</v>
      </c>
    </row>
    <row r="34" spans="1:10" ht="30" x14ac:dyDescent="0.25">
      <c r="A34" s="41" t="s">
        <v>27</v>
      </c>
      <c r="B34" s="46">
        <v>76.640000000000015</v>
      </c>
      <c r="C34" s="46">
        <v>284.11</v>
      </c>
      <c r="D34" s="47">
        <f t="shared" si="0"/>
        <v>360.75</v>
      </c>
      <c r="E34" s="46">
        <f>14.92+10.5+39.28+17.88-4.47</f>
        <v>78.11</v>
      </c>
      <c r="F34" s="46">
        <f>9.67+13.99</f>
        <v>23.66</v>
      </c>
      <c r="G34" s="47">
        <f t="shared" si="1"/>
        <v>282.64</v>
      </c>
      <c r="H34" s="42" t="s">
        <v>107</v>
      </c>
      <c r="I34" s="48" t="s">
        <v>99</v>
      </c>
      <c r="J34" s="40" t="s">
        <v>75</v>
      </c>
    </row>
    <row r="35" spans="1:10" ht="30" x14ac:dyDescent="0.25">
      <c r="A35" s="41" t="s">
        <v>28</v>
      </c>
      <c r="B35" s="46">
        <v>76.17</v>
      </c>
      <c r="C35" s="46">
        <v>67.58</v>
      </c>
      <c r="D35" s="47">
        <f t="shared" si="0"/>
        <v>143.75</v>
      </c>
      <c r="E35" s="46">
        <f>13.44-3.36</f>
        <v>10.08</v>
      </c>
      <c r="F35" s="46">
        <f>9.99+0.88</f>
        <v>10.870000000000001</v>
      </c>
      <c r="G35" s="47">
        <f t="shared" si="1"/>
        <v>133.66999999999999</v>
      </c>
      <c r="H35" s="42" t="s">
        <v>76</v>
      </c>
      <c r="I35" s="48" t="s">
        <v>100</v>
      </c>
      <c r="J35" s="40" t="s">
        <v>75</v>
      </c>
    </row>
    <row r="36" spans="1:10" ht="15.75" customHeight="1" x14ac:dyDescent="0.25">
      <c r="A36" s="38" t="s">
        <v>29</v>
      </c>
      <c r="B36" s="46"/>
      <c r="C36" s="46"/>
      <c r="D36" s="47"/>
      <c r="E36" s="46"/>
      <c r="F36" s="46"/>
      <c r="G36" s="47">
        <f t="shared" si="1"/>
        <v>0</v>
      </c>
      <c r="H36" s="42"/>
      <c r="I36" s="48"/>
      <c r="J36" s="40"/>
    </row>
    <row r="37" spans="1:10" ht="15.75" customHeight="1" x14ac:dyDescent="0.25">
      <c r="A37" s="41" t="s">
        <v>30</v>
      </c>
      <c r="B37" s="46"/>
      <c r="C37" s="46">
        <v>500</v>
      </c>
      <c r="D37" s="47">
        <f t="shared" ref="D37" si="2">B37+C37</f>
        <v>500</v>
      </c>
      <c r="E37" s="46"/>
      <c r="F37" s="46"/>
      <c r="G37" s="47">
        <f>D37-E37</f>
        <v>500</v>
      </c>
      <c r="H37" s="42" t="s">
        <v>78</v>
      </c>
      <c r="I37" s="42"/>
      <c r="J37" s="40" t="s">
        <v>80</v>
      </c>
    </row>
    <row r="38" spans="1:10" ht="15.75" customHeight="1" x14ac:dyDescent="0.25">
      <c r="A38" s="43" t="s">
        <v>31</v>
      </c>
      <c r="B38" s="47">
        <f t="shared" ref="B38:G38" si="3">SUM(B7:B37)</f>
        <v>4356.1836324000005</v>
      </c>
      <c r="C38" s="47">
        <f t="shared" si="3"/>
        <v>1762.2999999999997</v>
      </c>
      <c r="D38" s="47">
        <f t="shared" si="3"/>
        <v>6118.4836323999989</v>
      </c>
      <c r="E38" s="47">
        <f t="shared" si="3"/>
        <v>624.87750000000017</v>
      </c>
      <c r="F38" s="47">
        <f t="shared" si="3"/>
        <v>489.38000000000005</v>
      </c>
      <c r="G38" s="47">
        <f t="shared" si="3"/>
        <v>5493.6061324000002</v>
      </c>
      <c r="H38" s="42"/>
      <c r="I38" s="48"/>
      <c r="J38" s="40"/>
    </row>
    <row r="39" spans="1:10" ht="15.75" customHeight="1" x14ac:dyDescent="0.25">
      <c r="A39" s="8"/>
      <c r="B39" s="9"/>
      <c r="C39" s="9"/>
      <c r="D39" s="9"/>
      <c r="E39" s="9"/>
      <c r="F39" s="9"/>
      <c r="G39" s="10"/>
      <c r="H39" s="2"/>
      <c r="I39" s="3"/>
      <c r="J39" s="4"/>
    </row>
    <row r="40" spans="1:10" ht="15.75" customHeight="1" x14ac:dyDescent="0.25">
      <c r="A40" s="11"/>
      <c r="B40" s="9"/>
      <c r="C40" s="9"/>
      <c r="D40" s="9"/>
      <c r="E40" s="9"/>
      <c r="F40" s="9"/>
      <c r="G40" s="10"/>
      <c r="H40" s="2"/>
      <c r="I40" s="3"/>
      <c r="J40" s="4"/>
    </row>
    <row r="41" spans="1:10" ht="15.75" customHeight="1" x14ac:dyDescent="0.25">
      <c r="A41" s="12"/>
      <c r="B41" s="9"/>
      <c r="C41" s="9"/>
      <c r="D41" s="9"/>
      <c r="E41" s="9"/>
      <c r="F41" s="9"/>
      <c r="G41" s="10"/>
      <c r="H41" s="2"/>
      <c r="I41" s="3"/>
      <c r="J41" s="4"/>
    </row>
    <row r="42" spans="1:10" ht="15.75" customHeight="1" x14ac:dyDescent="0.25">
      <c r="A42" s="12"/>
      <c r="B42" s="9"/>
      <c r="C42" s="9"/>
      <c r="D42" s="9"/>
      <c r="E42" s="9"/>
      <c r="F42" s="9"/>
      <c r="G42" s="10"/>
      <c r="H42" s="2"/>
      <c r="I42" s="2"/>
      <c r="J42" s="13"/>
    </row>
    <row r="43" spans="1:10" ht="15.75" customHeight="1" x14ac:dyDescent="0.25">
      <c r="A43" s="12"/>
      <c r="B43" s="9"/>
      <c r="C43" s="9"/>
      <c r="D43" s="9"/>
      <c r="E43" s="9"/>
      <c r="F43" s="9"/>
      <c r="G43" s="10"/>
      <c r="H43" s="14"/>
      <c r="I43" s="15"/>
      <c r="J43" s="16"/>
    </row>
    <row r="44" spans="1:10" ht="15.75" customHeight="1" x14ac:dyDescent="0.25">
      <c r="A44" s="12"/>
      <c r="B44" s="9"/>
      <c r="C44" s="9"/>
      <c r="D44" s="9"/>
      <c r="E44" s="9"/>
      <c r="F44" s="9"/>
      <c r="G44" s="10"/>
      <c r="H44" s="2"/>
      <c r="I44" s="2"/>
      <c r="J44" s="13"/>
    </row>
    <row r="45" spans="1:10" ht="15.75" customHeight="1" x14ac:dyDescent="0.25">
      <c r="A45" s="12"/>
      <c r="B45" s="9"/>
      <c r="C45" s="9"/>
      <c r="D45" s="9"/>
      <c r="E45" s="9"/>
      <c r="F45" s="9"/>
      <c r="G45" s="10"/>
      <c r="H45" s="2"/>
      <c r="I45" s="3"/>
      <c r="J45" s="4"/>
    </row>
    <row r="46" spans="1:10" ht="15.75" customHeight="1" x14ac:dyDescent="0.25">
      <c r="A46" s="17"/>
      <c r="B46" s="9"/>
      <c r="C46" s="9"/>
      <c r="D46" s="9"/>
      <c r="E46" s="9"/>
      <c r="F46" s="9"/>
      <c r="G46" s="10"/>
      <c r="H46" s="2"/>
      <c r="I46" s="6"/>
      <c r="J46" s="4"/>
    </row>
    <row r="47" spans="1:10" ht="15.75" customHeight="1" x14ac:dyDescent="0.25">
      <c r="A47" s="18"/>
      <c r="B47" s="10"/>
      <c r="C47" s="10"/>
      <c r="D47" s="9"/>
      <c r="E47" s="10"/>
      <c r="F47" s="10"/>
      <c r="G47" s="10"/>
      <c r="H47" s="2"/>
      <c r="I47" s="3"/>
      <c r="J47" s="4"/>
    </row>
    <row r="48" spans="1:10" ht="15.75" customHeight="1" x14ac:dyDescent="0.25">
      <c r="A48" s="19"/>
      <c r="B48" s="10"/>
      <c r="C48" s="10"/>
      <c r="D48" s="10"/>
      <c r="E48" s="10"/>
      <c r="F48" s="10"/>
      <c r="G48" s="10"/>
      <c r="H48" s="2"/>
      <c r="I48" s="3"/>
      <c r="J48" s="4"/>
    </row>
    <row r="49" spans="2:10" ht="15.75" customHeight="1" x14ac:dyDescent="0.25">
      <c r="B49" s="24"/>
      <c r="C49" s="24"/>
      <c r="D49" s="24"/>
      <c r="E49" s="24"/>
      <c r="F49" s="25"/>
      <c r="G49" s="25"/>
      <c r="H49" s="2"/>
      <c r="I49" s="3"/>
      <c r="J49" s="4"/>
    </row>
    <row r="50" spans="2:10" ht="15.75" customHeight="1" x14ac:dyDescent="0.25">
      <c r="F50" s="23"/>
      <c r="G50" s="23"/>
      <c r="H50" s="2"/>
      <c r="I50" s="3"/>
      <c r="J50" s="4"/>
    </row>
    <row r="51" spans="2:10" ht="15.75" customHeight="1" x14ac:dyDescent="0.25">
      <c r="F51" s="23"/>
      <c r="G51" s="23"/>
      <c r="H51" s="2"/>
      <c r="I51" s="3"/>
      <c r="J51" s="4"/>
    </row>
    <row r="52" spans="2:10" ht="15.75" customHeight="1" x14ac:dyDescent="0.25">
      <c r="F52" s="23"/>
      <c r="G52" s="23"/>
      <c r="H52" s="2"/>
      <c r="I52" s="3"/>
      <c r="J52" s="4"/>
    </row>
    <row r="53" spans="2:10" ht="15.75" customHeight="1" x14ac:dyDescent="0.25">
      <c r="F53" s="23"/>
      <c r="G53" s="23"/>
      <c r="H53" s="5"/>
      <c r="I53" s="6"/>
      <c r="J53" s="7"/>
    </row>
  </sheetData>
  <mergeCells count="4">
    <mergeCell ref="A4:A5"/>
    <mergeCell ref="B4:J4"/>
    <mergeCell ref="A2:J2"/>
    <mergeCell ref="I1:J1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sqref="A1:J24"/>
    </sheetView>
  </sheetViews>
  <sheetFormatPr defaultColWidth="15.5703125" defaultRowHeight="33" customHeight="1" x14ac:dyDescent="0.25"/>
  <cols>
    <col min="1" max="1" width="21.28515625" style="20" customWidth="1"/>
    <col min="2" max="2" width="16.7109375" style="20" customWidth="1"/>
    <col min="3" max="3" width="13.85546875" style="20" customWidth="1"/>
    <col min="4" max="4" width="15.5703125" style="20" customWidth="1"/>
    <col min="5" max="5" width="13.42578125" style="20" customWidth="1"/>
    <col min="6" max="6" width="13.85546875" style="20" customWidth="1"/>
    <col min="7" max="7" width="13.5703125" style="20" customWidth="1"/>
    <col min="8" max="8" width="13.140625" style="20" customWidth="1"/>
    <col min="9" max="9" width="16.140625" style="20" customWidth="1"/>
    <col min="10" max="10" width="20.5703125" style="20" customWidth="1"/>
    <col min="11" max="16384" width="15.5703125" style="20"/>
  </cols>
  <sheetData>
    <row r="1" spans="1:10" ht="18.75" x14ac:dyDescent="0.3">
      <c r="A1" s="52"/>
      <c r="B1" s="52"/>
      <c r="C1" s="52"/>
      <c r="D1" s="52"/>
      <c r="E1" s="52"/>
      <c r="F1" s="52"/>
      <c r="G1" s="52"/>
      <c r="H1" s="52"/>
      <c r="I1" s="61" t="s">
        <v>110</v>
      </c>
      <c r="J1" s="61"/>
    </row>
    <row r="2" spans="1:10" ht="15.75" x14ac:dyDescent="0.25">
      <c r="A2" s="50" t="s">
        <v>95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3">
      <c r="A3" s="26"/>
      <c r="B3" s="26"/>
      <c r="C3" s="26"/>
      <c r="D3" s="26"/>
      <c r="E3" s="26"/>
      <c r="F3" s="26"/>
      <c r="G3" s="26"/>
      <c r="H3" s="26"/>
      <c r="I3" s="27"/>
      <c r="J3" s="53" t="s">
        <v>98</v>
      </c>
    </row>
    <row r="4" spans="1:10" ht="15" x14ac:dyDescent="0.25">
      <c r="A4" s="37" t="s">
        <v>101</v>
      </c>
      <c r="B4" s="45" t="s">
        <v>49</v>
      </c>
      <c r="C4" s="45"/>
      <c r="D4" s="45"/>
      <c r="E4" s="45"/>
      <c r="F4" s="45"/>
      <c r="G4" s="45"/>
      <c r="H4" s="45"/>
      <c r="I4" s="45"/>
      <c r="J4" s="45"/>
    </row>
    <row r="5" spans="1:10" ht="51" x14ac:dyDescent="0.25">
      <c r="A5" s="37"/>
      <c r="B5" s="44" t="s">
        <v>102</v>
      </c>
      <c r="C5" s="44" t="s">
        <v>103</v>
      </c>
      <c r="D5" s="44" t="s">
        <v>104</v>
      </c>
      <c r="E5" s="44" t="s">
        <v>50</v>
      </c>
      <c r="F5" s="44" t="s">
        <v>51</v>
      </c>
      <c r="G5" s="44" t="s">
        <v>52</v>
      </c>
      <c r="H5" s="44" t="s">
        <v>77</v>
      </c>
      <c r="I5" s="44" t="s">
        <v>53</v>
      </c>
      <c r="J5" s="44" t="s">
        <v>111</v>
      </c>
    </row>
    <row r="6" spans="1:10" ht="15.75" x14ac:dyDescent="0.3">
      <c r="A6" s="29" t="s">
        <v>32</v>
      </c>
      <c r="B6" s="31"/>
      <c r="C6" s="31"/>
      <c r="D6" s="31"/>
      <c r="E6" s="31"/>
      <c r="F6" s="31"/>
      <c r="G6" s="31"/>
      <c r="H6" s="54"/>
      <c r="I6" s="54"/>
      <c r="J6" s="54"/>
    </row>
    <row r="7" spans="1:10" ht="15.75" x14ac:dyDescent="0.3">
      <c r="A7" s="31" t="s">
        <v>33</v>
      </c>
      <c r="B7" s="55">
        <v>750</v>
      </c>
      <c r="C7" s="55">
        <v>3500</v>
      </c>
      <c r="D7" s="56">
        <f t="shared" ref="D7:D13" si="0">B7+C7</f>
        <v>4250</v>
      </c>
      <c r="E7" s="55">
        <v>3000</v>
      </c>
      <c r="F7" s="55">
        <f>60.46+5.27</f>
        <v>65.73</v>
      </c>
      <c r="G7" s="56">
        <f t="shared" ref="G7:G13" si="1">D7-E7</f>
        <v>1250</v>
      </c>
      <c r="H7" s="32" t="s">
        <v>81</v>
      </c>
      <c r="I7" s="32" t="s">
        <v>90</v>
      </c>
      <c r="J7" s="30" t="s">
        <v>96</v>
      </c>
    </row>
    <row r="8" spans="1:10" ht="45" x14ac:dyDescent="0.3">
      <c r="A8" s="31" t="s">
        <v>34</v>
      </c>
      <c r="B8" s="55">
        <v>350</v>
      </c>
      <c r="C8" s="55">
        <v>250</v>
      </c>
      <c r="D8" s="56">
        <f t="shared" si="0"/>
        <v>600</v>
      </c>
      <c r="E8" s="55">
        <v>350.05</v>
      </c>
      <c r="F8" s="55">
        <v>29.97</v>
      </c>
      <c r="G8" s="56">
        <f t="shared" si="1"/>
        <v>249.95</v>
      </c>
      <c r="H8" s="32" t="s">
        <v>82</v>
      </c>
      <c r="I8" s="57" t="s">
        <v>91</v>
      </c>
      <c r="J8" s="30" t="s">
        <v>96</v>
      </c>
    </row>
    <row r="9" spans="1:10" ht="30" x14ac:dyDescent="0.3">
      <c r="A9" s="31" t="s">
        <v>35</v>
      </c>
      <c r="B9" s="55">
        <v>0</v>
      </c>
      <c r="C9" s="55">
        <v>1400</v>
      </c>
      <c r="D9" s="56">
        <f t="shared" si="0"/>
        <v>1400</v>
      </c>
      <c r="E9" s="55">
        <f>600+69.62</f>
        <v>669.62</v>
      </c>
      <c r="F9" s="55">
        <f>30.22+13.26</f>
        <v>43.48</v>
      </c>
      <c r="G9" s="56">
        <f t="shared" si="1"/>
        <v>730.38</v>
      </c>
      <c r="H9" s="32" t="s">
        <v>83</v>
      </c>
      <c r="I9" s="32" t="s">
        <v>92</v>
      </c>
      <c r="J9" s="30" t="s">
        <v>96</v>
      </c>
    </row>
    <row r="10" spans="1:10" ht="15.75" x14ac:dyDescent="0.3">
      <c r="A10" s="30" t="s">
        <v>37</v>
      </c>
      <c r="B10" s="55">
        <v>0</v>
      </c>
      <c r="C10" s="55">
        <v>250</v>
      </c>
      <c r="D10" s="56">
        <f t="shared" si="0"/>
        <v>250</v>
      </c>
      <c r="E10" s="55">
        <v>12.51</v>
      </c>
      <c r="F10" s="55">
        <v>1.44</v>
      </c>
      <c r="G10" s="56">
        <f t="shared" si="1"/>
        <v>237.49</v>
      </c>
      <c r="H10" s="32" t="s">
        <v>84</v>
      </c>
      <c r="I10" s="58">
        <v>8.2500000000000004E-2</v>
      </c>
      <c r="J10" s="30" t="s">
        <v>96</v>
      </c>
    </row>
    <row r="11" spans="1:10" ht="30" x14ac:dyDescent="0.3">
      <c r="A11" s="31" t="s">
        <v>38</v>
      </c>
      <c r="B11" s="55">
        <v>0</v>
      </c>
      <c r="C11" s="55">
        <v>400</v>
      </c>
      <c r="D11" s="56">
        <f t="shared" si="0"/>
        <v>400</v>
      </c>
      <c r="E11" s="55">
        <v>99.99</v>
      </c>
      <c r="F11" s="55">
        <v>19.11</v>
      </c>
      <c r="G11" s="56">
        <f t="shared" si="1"/>
        <v>300.01</v>
      </c>
      <c r="H11" s="32" t="s">
        <v>85</v>
      </c>
      <c r="I11" s="59">
        <v>8.8999999999999996E-2</v>
      </c>
      <c r="J11" s="30" t="s">
        <v>96</v>
      </c>
    </row>
    <row r="12" spans="1:10" ht="15.75" x14ac:dyDescent="0.3">
      <c r="A12" s="31" t="s">
        <v>39</v>
      </c>
      <c r="B12" s="55">
        <v>100.02000000000001</v>
      </c>
      <c r="C12" s="55">
        <v>200</v>
      </c>
      <c r="D12" s="56">
        <f t="shared" si="0"/>
        <v>300.02</v>
      </c>
      <c r="E12" s="55">
        <v>174.99</v>
      </c>
      <c r="F12" s="55">
        <v>15.98</v>
      </c>
      <c r="G12" s="56">
        <f t="shared" si="1"/>
        <v>125.02999999999997</v>
      </c>
      <c r="H12" s="32" t="s">
        <v>86</v>
      </c>
      <c r="I12" s="59">
        <v>0.09</v>
      </c>
      <c r="J12" s="30" t="s">
        <v>96</v>
      </c>
    </row>
    <row r="13" spans="1:10" ht="15.75" x14ac:dyDescent="0.3">
      <c r="A13" s="31" t="s">
        <v>40</v>
      </c>
      <c r="B13" s="55">
        <v>75</v>
      </c>
      <c r="C13" s="55">
        <v>150</v>
      </c>
      <c r="D13" s="56">
        <f t="shared" si="0"/>
        <v>225</v>
      </c>
      <c r="E13" s="55">
        <v>200</v>
      </c>
      <c r="F13" s="55">
        <v>10.98</v>
      </c>
      <c r="G13" s="56">
        <f t="shared" si="1"/>
        <v>25</v>
      </c>
      <c r="H13" s="32" t="s">
        <v>87</v>
      </c>
      <c r="I13" s="59">
        <v>0.11749999999999999</v>
      </c>
      <c r="J13" s="30" t="s">
        <v>96</v>
      </c>
    </row>
    <row r="14" spans="1:10" ht="25.5" x14ac:dyDescent="0.3">
      <c r="A14" s="43" t="s">
        <v>41</v>
      </c>
      <c r="B14" s="47">
        <f t="shared" ref="B14:G14" si="2">SUM(B7:B13)</f>
        <v>1275.02</v>
      </c>
      <c r="C14" s="47">
        <f t="shared" si="2"/>
        <v>6150</v>
      </c>
      <c r="D14" s="47">
        <f t="shared" si="2"/>
        <v>7425.02</v>
      </c>
      <c r="E14" s="47">
        <f t="shared" si="2"/>
        <v>4507.16</v>
      </c>
      <c r="F14" s="47">
        <f t="shared" si="2"/>
        <v>186.69</v>
      </c>
      <c r="G14" s="47">
        <f t="shared" si="2"/>
        <v>2917.8599999999997</v>
      </c>
      <c r="H14" s="32"/>
      <c r="I14" s="57"/>
      <c r="J14" s="30"/>
    </row>
    <row r="15" spans="1:10" ht="15.75" x14ac:dyDescent="0.3">
      <c r="A15" s="28" t="s">
        <v>42</v>
      </c>
      <c r="B15" s="55"/>
      <c r="C15" s="55"/>
      <c r="D15" s="55"/>
      <c r="E15" s="55"/>
      <c r="F15" s="55"/>
      <c r="G15" s="56"/>
      <c r="H15" s="32"/>
      <c r="I15" s="32"/>
      <c r="J15" s="30"/>
    </row>
    <row r="16" spans="1:10" ht="15.75" x14ac:dyDescent="0.3">
      <c r="A16" s="31" t="s">
        <v>43</v>
      </c>
      <c r="B16" s="55">
        <v>189.56</v>
      </c>
      <c r="C16" s="55">
        <v>97.670000000000016</v>
      </c>
      <c r="D16" s="55">
        <f t="shared" ref="D16:D22" si="3">B16+C16</f>
        <v>287.23</v>
      </c>
      <c r="E16" s="55"/>
      <c r="F16" s="55">
        <v>38.4</v>
      </c>
      <c r="G16" s="56">
        <f t="shared" ref="G16:G22" si="4">D16-E16</f>
        <v>287.23</v>
      </c>
      <c r="H16" s="32" t="s">
        <v>82</v>
      </c>
      <c r="I16" s="59">
        <v>8.6499999999999994E-2</v>
      </c>
      <c r="J16" s="30" t="s">
        <v>96</v>
      </c>
    </row>
    <row r="17" spans="1:10" ht="15.75" x14ac:dyDescent="0.3">
      <c r="A17" s="31" t="s">
        <v>44</v>
      </c>
      <c r="B17" s="55">
        <v>590.70000000000005</v>
      </c>
      <c r="C17" s="55"/>
      <c r="D17" s="55">
        <f t="shared" si="3"/>
        <v>590.70000000000005</v>
      </c>
      <c r="E17" s="55">
        <v>590.70000000000005</v>
      </c>
      <c r="F17" s="55"/>
      <c r="G17" s="56">
        <f t="shared" si="4"/>
        <v>0</v>
      </c>
      <c r="H17" s="32"/>
      <c r="I17" s="60"/>
      <c r="J17" s="30" t="s">
        <v>96</v>
      </c>
    </row>
    <row r="18" spans="1:10" ht="15.75" x14ac:dyDescent="0.3">
      <c r="A18" s="31" t="s">
        <v>39</v>
      </c>
      <c r="B18" s="55">
        <v>981.76</v>
      </c>
      <c r="C18" s="55">
        <v>14.450000000000045</v>
      </c>
      <c r="D18" s="55">
        <f t="shared" si="3"/>
        <v>996.21</v>
      </c>
      <c r="E18" s="55"/>
      <c r="F18" s="55">
        <v>82.83</v>
      </c>
      <c r="G18" s="56">
        <f t="shared" si="4"/>
        <v>996.21</v>
      </c>
      <c r="H18" s="32" t="s">
        <v>82</v>
      </c>
      <c r="I18" s="59">
        <v>8.3500000000000005E-2</v>
      </c>
      <c r="J18" s="30" t="s">
        <v>96</v>
      </c>
    </row>
    <row r="19" spans="1:10" ht="15.75" x14ac:dyDescent="0.3">
      <c r="A19" s="31" t="s">
        <v>36</v>
      </c>
      <c r="B19" s="55">
        <v>324.92</v>
      </c>
      <c r="C19" s="55">
        <v>22.859999999999957</v>
      </c>
      <c r="D19" s="55">
        <f t="shared" si="3"/>
        <v>347.78</v>
      </c>
      <c r="E19" s="55"/>
      <c r="F19" s="55">
        <f>29.99+18.7</f>
        <v>48.69</v>
      </c>
      <c r="G19" s="56">
        <f t="shared" si="4"/>
        <v>347.78</v>
      </c>
      <c r="H19" s="32" t="s">
        <v>82</v>
      </c>
      <c r="I19" s="59">
        <v>8.6499999999999994E-2</v>
      </c>
      <c r="J19" s="30" t="s">
        <v>96</v>
      </c>
    </row>
    <row r="20" spans="1:10" ht="15.75" x14ac:dyDescent="0.3">
      <c r="A20" s="31" t="s">
        <v>38</v>
      </c>
      <c r="B20" s="55">
        <v>176.78</v>
      </c>
      <c r="C20" s="55">
        <v>22.069999999999993</v>
      </c>
      <c r="D20" s="55">
        <f t="shared" si="3"/>
        <v>198.85</v>
      </c>
      <c r="E20" s="55"/>
      <c r="F20" s="55">
        <f>14.38-0.28</f>
        <v>14.100000000000001</v>
      </c>
      <c r="G20" s="56">
        <f t="shared" si="4"/>
        <v>198.85</v>
      </c>
      <c r="H20" s="32" t="s">
        <v>82</v>
      </c>
      <c r="I20" s="59">
        <v>9.0999999999999998E-2</v>
      </c>
      <c r="J20" s="30" t="s">
        <v>96</v>
      </c>
    </row>
    <row r="21" spans="1:10" ht="15.75" x14ac:dyDescent="0.3">
      <c r="A21" s="31" t="s">
        <v>45</v>
      </c>
      <c r="B21" s="55">
        <v>377.17999999999995</v>
      </c>
      <c r="C21" s="55"/>
      <c r="D21" s="55">
        <f t="shared" si="3"/>
        <v>377.17999999999995</v>
      </c>
      <c r="E21" s="55">
        <v>377.18</v>
      </c>
      <c r="F21" s="55"/>
      <c r="G21" s="56">
        <f t="shared" si="4"/>
        <v>0</v>
      </c>
      <c r="H21" s="32" t="s">
        <v>82</v>
      </c>
      <c r="I21" s="59">
        <v>8.5000000000000006E-2</v>
      </c>
      <c r="J21" s="30" t="s">
        <v>96</v>
      </c>
    </row>
    <row r="22" spans="1:10" ht="15.75" x14ac:dyDescent="0.3">
      <c r="A22" s="31" t="s">
        <v>46</v>
      </c>
      <c r="B22" s="55">
        <v>37.5</v>
      </c>
      <c r="C22" s="55">
        <v>50.58</v>
      </c>
      <c r="D22" s="55">
        <f t="shared" si="3"/>
        <v>88.08</v>
      </c>
      <c r="E22" s="55"/>
      <c r="F22" s="55">
        <f>4.19+5.35</f>
        <v>9.5399999999999991</v>
      </c>
      <c r="G22" s="56">
        <f t="shared" si="4"/>
        <v>88.08</v>
      </c>
      <c r="H22" s="32" t="s">
        <v>82</v>
      </c>
      <c r="I22" s="59">
        <v>8.5000000000000006E-2</v>
      </c>
      <c r="J22" s="30" t="s">
        <v>96</v>
      </c>
    </row>
    <row r="23" spans="1:10" ht="15.75" x14ac:dyDescent="0.3">
      <c r="A23" s="28" t="s">
        <v>47</v>
      </c>
      <c r="B23" s="56">
        <f>SUM(B16:B22)</f>
        <v>2678.4</v>
      </c>
      <c r="C23" s="56">
        <f t="shared" ref="C23:G23" si="5">SUM(C16:C22)</f>
        <v>207.63</v>
      </c>
      <c r="D23" s="56">
        <f t="shared" si="5"/>
        <v>2886.0299999999997</v>
      </c>
      <c r="E23" s="56">
        <f t="shared" si="5"/>
        <v>967.88000000000011</v>
      </c>
      <c r="F23" s="56">
        <f t="shared" si="5"/>
        <v>193.55999999999997</v>
      </c>
      <c r="G23" s="56">
        <f t="shared" si="5"/>
        <v>1918.1499999999999</v>
      </c>
      <c r="H23" s="32"/>
      <c r="I23" s="59"/>
      <c r="J23" s="30"/>
    </row>
    <row r="24" spans="1:10" ht="38.25" x14ac:dyDescent="0.3">
      <c r="A24" s="33" t="s">
        <v>48</v>
      </c>
      <c r="B24" s="56">
        <f>B14+B23</f>
        <v>3953.42</v>
      </c>
      <c r="C24" s="56">
        <f t="shared" ref="C24:G24" si="6">C14+C23</f>
        <v>6357.63</v>
      </c>
      <c r="D24" s="56">
        <f t="shared" si="6"/>
        <v>10311.049999999999</v>
      </c>
      <c r="E24" s="56">
        <f t="shared" si="6"/>
        <v>5475.04</v>
      </c>
      <c r="F24" s="56">
        <f t="shared" si="6"/>
        <v>380.25</v>
      </c>
      <c r="G24" s="56">
        <f t="shared" si="6"/>
        <v>4836.0099999999993</v>
      </c>
      <c r="H24" s="32"/>
      <c r="I24" s="59"/>
      <c r="J24" s="30"/>
    </row>
  </sheetData>
  <mergeCells count="4">
    <mergeCell ref="A4:A5"/>
    <mergeCell ref="B4:J4"/>
    <mergeCell ref="A2:J2"/>
    <mergeCell ref="I1:J1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-2</vt:lpstr>
      <vt:lpstr>annexuxre -3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2020-12-19T07:58:26Z</dcterms:modified>
</cp:coreProperties>
</file>